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395" yWindow="0" windowWidth="19440" windowHeight="12180" tabRatio="940" activeTab="2"/>
  </bookViews>
  <sheets>
    <sheet name="Dealer Inputs" sheetId="1" r:id="rId1"/>
    <sheet name="Order Summary" sheetId="2" r:id="rId2"/>
    <sheet name="Kites-Bars" sheetId="3" r:id="rId3"/>
    <sheet name="Kiteboards" sheetId="4" r:id="rId4"/>
    <sheet name="Pads-Straps-Bindings" sheetId="5" r:id="rId5"/>
    <sheet name="Harnesses" sheetId="6" r:id="rId6"/>
    <sheet name="ENVY-Packages" sheetId="7" r:id="rId7"/>
    <sheet name="VESTS" sheetId="8" r:id="rId8"/>
    <sheet name="Helmets" sheetId="9" r:id="rId9"/>
    <sheet name="Bags" sheetId="10" r:id="rId10"/>
    <sheet name="Comp Vests (2)" sheetId="11" state="hidden" r:id="rId11"/>
    <sheet name="SCHOOL PROGRAM" sheetId="12" r:id="rId12"/>
    <sheet name="IPA's, Accessories" sheetId="13" r:id="rId13"/>
    <sheet name="POP, Stickers" sheetId="14" r:id="rId14"/>
    <sheet name="Fins and Parts" sheetId="15" r:id="rId15"/>
  </sheets>
  <definedNames>
    <definedName name="_xlnm._FilterDatabase" localSheetId="10" hidden="1">'Comp Vests (2)'!$F$5:$F$58</definedName>
    <definedName name="_xlnm.Print_Area" localSheetId="9">'Bags'!$A$1:$P$32</definedName>
    <definedName name="_xlnm.Print_Area" localSheetId="0">'Dealer Inputs'!$A$1:$O$35</definedName>
    <definedName name="_xlnm.Print_Area" localSheetId="14">'Fins and Parts'!$A$1:$P$63</definedName>
    <definedName name="_xlnm.Print_Area" localSheetId="1">'Order Summary'!$A$1:$Q$46</definedName>
  </definedNames>
  <calcPr fullCalcOnLoad="1"/>
</workbook>
</file>

<file path=xl/sharedStrings.xml><?xml version="1.0" encoding="utf-8"?>
<sst xmlns="http://schemas.openxmlformats.org/spreadsheetml/2006/main" count="725" uniqueCount="508">
  <si>
    <t>SCHOOL Price</t>
  </si>
  <si>
    <t>2012 Liquid Force Kiteboarding : SCHOOL PROGRAM</t>
  </si>
  <si>
    <t>5M ENVY SCHOOL KITE</t>
  </si>
  <si>
    <t>N/A</t>
  </si>
  <si>
    <t>7M ENVY SCHOOL KITE</t>
  </si>
  <si>
    <t xml:space="preserve"> 9M ENVY SCHOOL KITE</t>
  </si>
  <si>
    <t>12M ENVY SCHOOL KITE</t>
  </si>
  <si>
    <t>15M ENVY SCHOOL KITE</t>
  </si>
  <si>
    <t>School CPR Control Bar</t>
  </si>
  <si>
    <t>EDGE 136</t>
  </si>
  <si>
    <t>EDGE 146</t>
  </si>
  <si>
    <t>PROFILE PAD/STRAP KIT</t>
  </si>
  <si>
    <t>PROFILE HARNESS W/BAR SM</t>
  </si>
  <si>
    <t>PROFILE HARNESS W/BAR MD</t>
  </si>
  <si>
    <t>PROFILE HARNESS W/BAR LG</t>
  </si>
  <si>
    <t>PROFILE HARNESS W/BAR XL</t>
  </si>
  <si>
    <t>N/A</t>
  </si>
  <si>
    <t>TOTAL SCHOOL ORDER</t>
  </si>
  <si>
    <t>INFLATABLE PARTY ACCESSORIES</t>
  </si>
  <si>
    <t xml:space="preserve"> Catalog and Accessories</t>
  </si>
  <si>
    <r>
      <t>LF</t>
    </r>
    <r>
      <rPr>
        <sz val="10"/>
        <rFont val="Arial"/>
        <family val="0"/>
      </rPr>
      <t xml:space="preserve"> WAKE CALENDAR 2012</t>
    </r>
  </si>
  <si>
    <r>
      <t>LF</t>
    </r>
    <r>
      <rPr>
        <sz val="10"/>
        <rFont val="Arial"/>
        <family val="0"/>
      </rPr>
      <t xml:space="preserve"> KITEBOARDING 2012 CATALOG</t>
    </r>
  </si>
  <si>
    <r>
      <t>Refresher 12</t>
    </r>
    <r>
      <rPr>
        <sz val="10"/>
        <rFont val="Arial"/>
        <family val="0"/>
      </rPr>
      <t xml:space="preserve"> Pack Cooler</t>
    </r>
  </si>
  <si>
    <r>
      <t>Refresher 6</t>
    </r>
    <r>
      <rPr>
        <sz val="10"/>
        <rFont val="Arial"/>
        <family val="0"/>
      </rPr>
      <t xml:space="preserve"> Pack Cooler</t>
    </r>
  </si>
  <si>
    <t>1/2 June 30, 1/2 July 30</t>
  </si>
  <si>
    <t>LUX HARNESS  W/BAR XL BLACK</t>
  </si>
  <si>
    <t>BLISS HARNESS W/BAR XS</t>
  </si>
  <si>
    <t>BLISS HARNESS W/BAR SM</t>
  </si>
  <si>
    <t>BLISS HARNESS W/BAR MD</t>
  </si>
  <si>
    <t>BLISS HARNESS W/BAR LG</t>
  </si>
  <si>
    <t>2012 Liquid Force ENVY Packages</t>
  </si>
  <si>
    <t>Total Package amount per ship</t>
  </si>
  <si>
    <t>TOTAL PACKAGE COST</t>
  </si>
  <si>
    <t xml:space="preserve">Please select 1 board and harness size for each of your packages.  </t>
  </si>
  <si>
    <t>Part #</t>
  </si>
  <si>
    <t>Boards Select</t>
  </si>
  <si>
    <t>Edge 136</t>
  </si>
  <si>
    <t>Edge 146</t>
  </si>
  <si>
    <t>Total Boards</t>
  </si>
  <si>
    <t>Harnesses Select</t>
  </si>
  <si>
    <t>PROFILE HARNESS W/BAR SM</t>
  </si>
  <si>
    <t>PROFILE HARNESS W/BAR MD</t>
  </si>
  <si>
    <t>PROFILE HARNESS W/BAR LG</t>
  </si>
  <si>
    <t>PROFILE HARNESS W/BAR XL</t>
  </si>
  <si>
    <t>Dealer Price</t>
  </si>
  <si>
    <t xml:space="preserve">     COMP IMPACT VEST</t>
  </si>
  <si>
    <t>COMP IMPACT VEST SM</t>
  </si>
  <si>
    <t>COMP IMPACT VEST MD</t>
  </si>
  <si>
    <t xml:space="preserve"> COMP IMPACT VEST LG</t>
  </si>
  <si>
    <t>COMP IMPACT VEST XL</t>
  </si>
  <si>
    <t>LUXURY IMPACT FLOTATION VEST</t>
  </si>
  <si>
    <t>LUXURY IMPACT VEST SM</t>
  </si>
  <si>
    <t xml:space="preserve"> LUXURY IMPACT VEST MD</t>
  </si>
  <si>
    <t>LUXURY IMPACT VEST LG</t>
  </si>
  <si>
    <t>LUXURY IMPACT VEST XL</t>
  </si>
  <si>
    <t>VEST TOTALS</t>
  </si>
  <si>
    <t>HELMET TOTALS</t>
  </si>
  <si>
    <t>2012 Liquid Force Travel Bags and Board Bags</t>
  </si>
  <si>
    <t>LF Kite-SURF Coffin 6'3"</t>
  </si>
  <si>
    <t>5m NIRVANA KITE PACKAGE</t>
  </si>
  <si>
    <t>7m  NIRVANA KITE PACKAGE</t>
  </si>
  <si>
    <t>9m NIRVANA KITE PACKAGE</t>
  </si>
  <si>
    <t>11m NIRVANA KITE PACKAGE</t>
  </si>
  <si>
    <t>13m NIRVANA KITE PACKAGE</t>
  </si>
  <si>
    <t>15m NIRVANA KITE PACKAGE</t>
  </si>
  <si>
    <t>Early Buy Net $</t>
  </si>
  <si>
    <t>*School Totals do not show on this page in shipment or overall totals, but DO count as net total volume for overall volume discounting on dealer input page</t>
  </si>
  <si>
    <t>Retail Totals</t>
  </si>
  <si>
    <t>Overall Totals</t>
  </si>
  <si>
    <t>SCHOOL PROGRAM</t>
  </si>
  <si>
    <t>SCHOOL TOTALS</t>
  </si>
  <si>
    <t>Dating Windows</t>
  </si>
  <si>
    <t xml:space="preserve">5% for prebooks turned in by 9/30  </t>
  </si>
  <si>
    <t>CPR 55CM CONTROL SYSTEM</t>
  </si>
  <si>
    <t>CPR 5 45CM CONTROL SYSTEM</t>
  </si>
  <si>
    <t>CPR 5 50CM CONTROL SYSTEM</t>
  </si>
  <si>
    <t>*CPR SCHOOL CONTROL SYSTEM</t>
  </si>
  <si>
    <t>2012 Liquid Force Kiteboards</t>
  </si>
  <si>
    <t xml:space="preserve">2012 LF Kiteboards come Deck and Fins with M6 metric inserts and LF RXS fins </t>
  </si>
  <si>
    <t>2012 LF Quiver Builder Boards</t>
  </si>
  <si>
    <t>TWINSKIM</t>
  </si>
  <si>
    <t>SEQUENCE KITE SKATE</t>
  </si>
  <si>
    <t>KITE FISH 5'3"</t>
  </si>
  <si>
    <t>2012 Liquid Force Surfboards</t>
  </si>
  <si>
    <t xml:space="preserve"> and at least equal to 2011 Total $$$'s</t>
  </si>
  <si>
    <t xml:space="preserve">* All Categories include Kites, Kiteboards, Straps/Bindings, </t>
  </si>
  <si>
    <t xml:space="preserve">   Harnesses, Vests, Bags, Apparel</t>
  </si>
  <si>
    <t>LF ENVY Kite Mini Messenger</t>
  </si>
  <si>
    <r>
      <t>Split Travel</t>
    </r>
    <r>
      <rPr>
        <sz val="10"/>
        <rFont val="Arial"/>
        <family val="0"/>
      </rPr>
      <t xml:space="preserve"> Roller Bag</t>
    </r>
  </si>
  <si>
    <r>
      <t xml:space="preserve">Overhead </t>
    </r>
    <r>
      <rPr>
        <sz val="10"/>
        <rFont val="Arial"/>
        <family val="0"/>
      </rPr>
      <t>Split Bag</t>
    </r>
  </si>
  <si>
    <r>
      <t>Refresher 12</t>
    </r>
    <r>
      <rPr>
        <sz val="10"/>
        <rFont val="Arial"/>
        <family val="0"/>
      </rPr>
      <t xml:space="preserve"> pack cooler</t>
    </r>
  </si>
  <si>
    <r>
      <t>Refresher 6</t>
    </r>
    <r>
      <rPr>
        <sz val="10"/>
        <rFont val="Arial"/>
        <family val="0"/>
      </rPr>
      <t xml:space="preserve"> pack cooler</t>
    </r>
  </si>
  <si>
    <r>
      <t xml:space="preserve">Phone Vault </t>
    </r>
    <r>
      <rPr>
        <sz val="10"/>
        <rFont val="Arial"/>
        <family val="0"/>
      </rPr>
      <t xml:space="preserve"> hard ditty case</t>
    </r>
  </si>
  <si>
    <t>COMP HARNESS SPINLOCK LG RED</t>
  </si>
  <si>
    <t>COMP HARNESS SPINLOCK XL RED</t>
  </si>
  <si>
    <t>COMP HARNESS SPINLOCK SM BLUE</t>
  </si>
  <si>
    <t>COMP HARNESS SPINLOCK MD BLUE</t>
  </si>
  <si>
    <t>COMP HARNESS SPINLOCK LG BLUE</t>
  </si>
  <si>
    <t>COMP HARNESS SPINLOCK XL BLUE</t>
  </si>
  <si>
    <t>LUXURY HARNESS</t>
  </si>
  <si>
    <t>LUX HARNESS  W/BAR SM BROWN</t>
  </si>
  <si>
    <t>LUX HARNESS  W/BAR MD BROWN</t>
  </si>
  <si>
    <t>LUX HARNESS  W/BAR LG BROWN</t>
  </si>
  <si>
    <t>LUX HARNESS  W/BAR XL BROWN</t>
  </si>
  <si>
    <t>LUX HARNESS  W/BAR SM BLACK</t>
  </si>
  <si>
    <t>LUX HARNESS  W/BAR MD BLACK</t>
  </si>
  <si>
    <t>LUX HARNESS  W/BAR LG BLACK</t>
  </si>
  <si>
    <t>KB:  MAX FLOW INFLAITION KIT</t>
  </si>
  <si>
    <t>KB: CENTERLINE SWIVEL W/ LEADERS</t>
  </si>
  <si>
    <t>KB: COMP LEASH</t>
  </si>
  <si>
    <t>KB: PUMP NOZZEL</t>
  </si>
  <si>
    <t>KB: STRAP KIT SPARE PARTS KIT</t>
  </si>
  <si>
    <t>KB: STRAP RETROFIT KIT</t>
  </si>
  <si>
    <t>KB: NRG 7M EXTENTIONS</t>
  </si>
  <si>
    <t>LF Strap and Pad Kits include LF X Chassis Pads with Straps, Board Handle and M6 Metric Mounting Hardware</t>
  </si>
  <si>
    <t>5m Envy+Edge+strap+harness</t>
  </si>
  <si>
    <t>7m Envy+Edge+strap+harness</t>
  </si>
  <si>
    <t>9m Envy+Edge+strap+harness</t>
  </si>
  <si>
    <t>12m Envy+Edge+strap+harness</t>
  </si>
  <si>
    <t>15m Envy+Edge+strap+harness</t>
  </si>
  <si>
    <t>TOTAL ENVY PACKAGES</t>
  </si>
  <si>
    <t>COMP 3.0  STRAP/PAD KIT SM/MD</t>
  </si>
  <si>
    <t>COMP 3.0 STRAP/PAD KIT LG/XL</t>
  </si>
  <si>
    <t>BLISS  STRAP/PAD KIT</t>
  </si>
  <si>
    <t>PROFILE STRAP/PAD KIT</t>
  </si>
  <si>
    <t>PROFILE BINDING (one size 8-12)</t>
  </si>
  <si>
    <t>CRADLE BINDING S (5-8)</t>
  </si>
  <si>
    <t>CRADLE BINDING M (8-12)</t>
  </si>
  <si>
    <t xml:space="preserve"> CRADLE BINDING L (12-15)</t>
  </si>
  <si>
    <t>VANTAGE KITE BINDING XS (6-8)</t>
  </si>
  <si>
    <t>VANTAGE KITE BINDING S (8-9)</t>
  </si>
  <si>
    <t>VANTAGE KITE BINDING M (9-10)</t>
  </si>
  <si>
    <t>Total Harnesses</t>
  </si>
  <si>
    <t>Pads and Straps</t>
  </si>
  <si>
    <t>PROFILE PAD / STRAP KIT</t>
  </si>
  <si>
    <t>All Totals- in RED-  for all ship 1, ship 2, ship 3, for all product should match</t>
  </si>
  <si>
    <t>2012 Liquid Force Impact and Flotation Vests</t>
  </si>
  <si>
    <t>PROFILE FLOTATION-IMPACT VEST- (Comes with Hook Knife and  Safety Whistle)</t>
  </si>
  <si>
    <t>PROFILE IMPACT VEST SM/MD</t>
  </si>
  <si>
    <t>PROFILE IMPACT VEST LG/XL</t>
  </si>
  <si>
    <t>LF Kite Packages Include: Kite with Maxflow Inflation, CPR Control System, Maxflow Longshaft Pump, Repair Kit and Trusted Waters Album</t>
  </si>
  <si>
    <t xml:space="preserve">        2012 ENVY KITES</t>
  </si>
  <si>
    <t>5m ENVY KITE PACKAGE</t>
  </si>
  <si>
    <t>7m ENVY KITE PACKAGE</t>
  </si>
  <si>
    <t>12m ENVY KITE PACKAGE</t>
  </si>
  <si>
    <t>15m ENVY KITE PACKAGE</t>
  </si>
  <si>
    <r>
      <t xml:space="preserve">         </t>
    </r>
    <r>
      <rPr>
        <b/>
        <sz val="12"/>
        <rFont val="Arial"/>
        <family val="2"/>
      </rPr>
      <t>2012 NRG KITES</t>
    </r>
  </si>
  <si>
    <t>6m NRG KITE PACKAGE</t>
  </si>
  <si>
    <t>8m NRG KITE PACKAGE</t>
  </si>
  <si>
    <t>10m NRG KITE PACKAGE</t>
  </si>
  <si>
    <t>12m NRG KITE PACKAGE</t>
  </si>
  <si>
    <t>14m NRG KITE PACKAGE</t>
  </si>
  <si>
    <t>16m  NRG KITE PACKAGE</t>
  </si>
  <si>
    <t xml:space="preserve">       2012 NIRVANA KITES</t>
  </si>
  <si>
    <t>LF Bindings include Pair of Boots, Angle Locks and M6 Mounting Hardware</t>
  </si>
  <si>
    <t>9m ENVY KITE PACKAGE</t>
  </si>
  <si>
    <t xml:space="preserve">       2012 LF TRAINER KITES</t>
  </si>
  <si>
    <t>2m LF Sensei TRAINER Kite</t>
  </si>
  <si>
    <t xml:space="preserve">3m LF Sensei TRAINER Kite </t>
  </si>
  <si>
    <r>
      <t xml:space="preserve">       2012 LF CPR Kite Control System- </t>
    </r>
    <r>
      <rPr>
        <sz val="12"/>
        <rFont val="Arial"/>
        <family val="2"/>
      </rPr>
      <t>Complete with 23M Lines. *School Control System Complete with 10m+7M Lines</t>
    </r>
  </si>
  <si>
    <t>CPR 45CM CONTROL SYSTEM</t>
  </si>
  <si>
    <t>CPR 50CM CONTROL SYSTEM</t>
  </si>
  <si>
    <t>KB: ENVY LE BLADDER 12.0</t>
  </si>
  <si>
    <t>KB: ENVY LE BLADDER 15.0</t>
  </si>
  <si>
    <t>KB: NIRVANA LE BLADDER 5.0</t>
  </si>
  <si>
    <t>KB: NIRVANA LE BLADDER 7.0</t>
  </si>
  <si>
    <t>KB: NIRVANA LE BLADDER 9.0</t>
  </si>
  <si>
    <t>KB: NIRVANA LE BLADDER 11.0</t>
  </si>
  <si>
    <t>KB: NIRVANA LE BLADDER 13.0</t>
  </si>
  <si>
    <t>KB: NIRVANA LE BLADDER 15.0</t>
  </si>
  <si>
    <t>KB: NRG LE BLADDER 6.0</t>
  </si>
  <si>
    <t>KB: NRG LE BLADDER 8.0</t>
  </si>
  <si>
    <t>KB: NRG LE BLADDER 10.0</t>
  </si>
  <si>
    <t>KB: NRG LE BLADDER 12.0</t>
  </si>
  <si>
    <t>KB: NRG LE BLADDER 14.0</t>
  </si>
  <si>
    <t>KB: NRG LE BLADDER 16.0</t>
  </si>
  <si>
    <t>2012 LF Surfboards come complete with EVA traction, adjustable straps and FCS Fins</t>
  </si>
  <si>
    <t>2012 Liquid Force Kiteboarding Harnesses</t>
  </si>
  <si>
    <t>PROFILE HARNESS</t>
  </si>
  <si>
    <t>PROFILE HARNESS W/BAR SM</t>
  </si>
  <si>
    <t>PROFILE HARNESS W/BAR MD</t>
  </si>
  <si>
    <t>COMP HARNESS- *(Includes Spinlock  Spreader bar)</t>
  </si>
  <si>
    <t>COMP HARNESS SPINLOCK SM RED</t>
  </si>
  <si>
    <t>COMP HARNESS SPINLOCK MD RED</t>
  </si>
  <si>
    <t>30" Die Cut White</t>
  </si>
  <si>
    <t>30" Die Cut Black</t>
  </si>
  <si>
    <t>50" Die Cut White</t>
  </si>
  <si>
    <t xml:space="preserve">50" Die Cut Black </t>
  </si>
  <si>
    <t>Split Drop 25pk 4x4</t>
  </si>
  <si>
    <t>I Drop LF 10pk 10x11 Vinyl</t>
  </si>
  <si>
    <t>Drop Diecut 20pk 4x4</t>
  </si>
  <si>
    <t>Corpo Script 25pk 2x6</t>
  </si>
  <si>
    <t>Corpo Stack Diecut 10pk 2x10</t>
  </si>
  <si>
    <t>Corpo Stack 25pk 2x7</t>
  </si>
  <si>
    <t>Product Displays</t>
  </si>
  <si>
    <t>Signage and Flags</t>
  </si>
  <si>
    <t>Stickers</t>
  </si>
  <si>
    <t>Window Cling - Corpo White</t>
  </si>
  <si>
    <t>Window Cling - Script Black</t>
  </si>
  <si>
    <t>Floormats- 30" Diameter</t>
  </si>
  <si>
    <t>LF: HELMET FLASH SM RASTA</t>
  </si>
  <si>
    <t>LF: HELMET FLASH MD RASTA</t>
  </si>
  <si>
    <t>LF: HELMET FLASH LG RASTA</t>
  </si>
  <si>
    <t>LF: HELMET FLASH XL RASTA</t>
  </si>
  <si>
    <t>LF: HELMET FOOSHEE COMP XS BLK</t>
  </si>
  <si>
    <t>LF: HELMET FOOSHEE COMP SM BLK</t>
  </si>
  <si>
    <t>LF: HELMET FOOSHEE COMP MD BLK</t>
  </si>
  <si>
    <t>LF: HELMET FOOSHEE COMP LG BLK</t>
  </si>
  <si>
    <t>LF: HELMET FOOSHEE COMP XL BLK</t>
  </si>
  <si>
    <t>LF: HELMET DAISY XS</t>
  </si>
  <si>
    <t>LF: HELMET DAISY S</t>
  </si>
  <si>
    <t>KB: RETRO FIT 6.5 ANGLE LOCK 2 PACK</t>
  </si>
  <si>
    <t>2012 Liquid Force Pads-Straps and Bindings</t>
  </si>
  <si>
    <t>LF Strap and Pad Kits include LF X Chassis Pads with Straps, Board Handle and M6 Metric Mounting Hardware</t>
  </si>
  <si>
    <t>LUXURY 3.0 SM/MD STRAP/PAD KIT</t>
  </si>
  <si>
    <t>LUXURY 3.0 LG/XL STRAP/PAD KIT</t>
  </si>
  <si>
    <t>DAY TRIPPER DLX TM EDITION</t>
  </si>
  <si>
    <t>Edge Protector DLX Small</t>
  </si>
  <si>
    <t>Edge Protector DLX Large</t>
  </si>
  <si>
    <t>LF: HELMET FLASH XS USA</t>
  </si>
  <si>
    <t>LF: HELMET FLASH SM USA</t>
  </si>
  <si>
    <t>LF: HELMET FLASH MD USA</t>
  </si>
  <si>
    <t>LF: HELMET FLASH LG USA</t>
  </si>
  <si>
    <t>LF: HELMET CORE YOUTH SM</t>
  </si>
  <si>
    <t>LF: HELMET CORE YOUTH LG</t>
  </si>
  <si>
    <t>LF: HELMET DROP YOUTH SM</t>
  </si>
  <si>
    <t>LF: HELMET DROP YOUTH LG</t>
  </si>
  <si>
    <t>POP/Stickers</t>
  </si>
  <si>
    <t>LF: HELMET CORE M</t>
  </si>
  <si>
    <t>LF: HELMET CORE L</t>
  </si>
  <si>
    <t>LF: HELMET CORE XL</t>
  </si>
  <si>
    <t>Board Shelf</t>
  </si>
  <si>
    <t>VANTAGE KITE BINDING L (10-11)</t>
  </si>
  <si>
    <t>VANTAGE KITE BINDING XL (11-12)</t>
  </si>
  <si>
    <t>VANTAGE KITE BINDING XXL (12-13+)</t>
  </si>
  <si>
    <t>SYNERGY BINDING XS (6-8)</t>
  </si>
  <si>
    <t>SYNERGY BINDING S (8-9)</t>
  </si>
  <si>
    <t>SYNERGY BINDING M (9-10)</t>
  </si>
  <si>
    <t>SYNERGY BINDING L (10-11)</t>
  </si>
  <si>
    <t xml:space="preserve"> SYNERGY BINDING XL (11-12)</t>
  </si>
  <si>
    <t>SYNERGY BINDING XXL (12-13+)</t>
  </si>
  <si>
    <t>2012 Liquid Force Kites</t>
  </si>
  <si>
    <t>CARDIGAN WM COMP SM BLU</t>
  </si>
  <si>
    <t>CARDIGAN WM COMP MD BLU</t>
  </si>
  <si>
    <t>CARDIGAN WM COMP LG BLU</t>
  </si>
  <si>
    <t xml:space="preserve">CARDIGAN COMP SM BLK </t>
  </si>
  <si>
    <t xml:space="preserve">CARDIGAN COMP MD BLK </t>
  </si>
  <si>
    <t xml:space="preserve">CARDIGAN COMP LG BLK </t>
  </si>
  <si>
    <t xml:space="preserve">CARDIGAN COMP XL BLK </t>
  </si>
  <si>
    <t xml:space="preserve">CARDIGAN COMP SM GRY </t>
  </si>
  <si>
    <t>CARDIGAN COMP MD GRY</t>
  </si>
  <si>
    <t>CARDIGAN COMP LG GRY</t>
  </si>
  <si>
    <t>CARDIGAN COMP XL GRY</t>
  </si>
  <si>
    <t xml:space="preserve">CARDIGAN COMP SM GRN </t>
  </si>
  <si>
    <t xml:space="preserve">CARDIGAN COMP MD GRN </t>
  </si>
  <si>
    <t xml:space="preserve">CARDIGAN COMP LG GRN </t>
  </si>
  <si>
    <t xml:space="preserve">CARDIGAN COMP XL GRN </t>
  </si>
  <si>
    <t>CARDIGAN COMP SM RED</t>
  </si>
  <si>
    <t>CARDIGAN COMP MD RED</t>
  </si>
  <si>
    <t>CARDIGAN COMP LG RED</t>
  </si>
  <si>
    <t>CARDIGAN COMP XL RED</t>
  </si>
  <si>
    <t>MELODY COMP XS BLK</t>
  </si>
  <si>
    <t>MELODY COMP SM BLK</t>
  </si>
  <si>
    <t>MELODY COMP MD BLK</t>
  </si>
  <si>
    <t>MELODY COMP LG BLK</t>
  </si>
  <si>
    <t>MELODY COMP XS BLU</t>
  </si>
  <si>
    <t>MELODY COMP SM BLU</t>
  </si>
  <si>
    <t>MELODY COMP MD BLU</t>
  </si>
  <si>
    <t>MELODY COMP LG BLU</t>
  </si>
  <si>
    <t>MELODY COMP XS MELISSA</t>
  </si>
  <si>
    <t>MELODY COMP SM MELISSA</t>
  </si>
  <si>
    <t>KB: ENVY BRIDLES 5.0</t>
  </si>
  <si>
    <t>KB: ENVY BRIDLES 7.0</t>
  </si>
  <si>
    <t>KB: ENVY BRIDLES 9.0</t>
  </si>
  <si>
    <t>KB: ENVY BRIDLES 12.0</t>
  </si>
  <si>
    <t>KB: ENVY BRIDLES 15.0</t>
  </si>
  <si>
    <t>KB: ENVY LE BLADDER 5.0</t>
  </si>
  <si>
    <t>KB: ENVY LE BLADDER 7.0</t>
  </si>
  <si>
    <t>KB: ENVY LE BLADDER 9.0</t>
  </si>
  <si>
    <t>Mar 1- Mar 31</t>
  </si>
  <si>
    <t>April 1-May 31</t>
  </si>
  <si>
    <t>LF Can Coozy</t>
  </si>
  <si>
    <t>2012 Liquid Force Order Summary</t>
  </si>
  <si>
    <t>2125497</t>
  </si>
  <si>
    <t>LET IT RIDE 80</t>
  </si>
  <si>
    <t>2125496</t>
  </si>
  <si>
    <t>LET IT RIDE 70</t>
  </si>
  <si>
    <t>2125495</t>
  </si>
  <si>
    <t>LET IT RIDE 60</t>
  </si>
  <si>
    <t xml:space="preserve">Four person tube rope </t>
  </si>
  <si>
    <t xml:space="preserve">Two person tube rope </t>
  </si>
  <si>
    <t>LF: HELMET FLASH XL USA</t>
  </si>
  <si>
    <t>LF: HELMET FLASH XS RASTA</t>
  </si>
  <si>
    <t>2085908</t>
  </si>
  <si>
    <t>2085909</t>
  </si>
  <si>
    <t>2085910</t>
  </si>
  <si>
    <t>2085911</t>
  </si>
  <si>
    <t>TEAM COMP SMALL CLASSIC</t>
  </si>
  <si>
    <t>TEAM COMP MEDIUM CLASSIC</t>
  </si>
  <si>
    <t>KB: CHICKEN LOOP W/ MAIN LINE</t>
  </si>
  <si>
    <t>KB: MAIN LINE</t>
  </si>
  <si>
    <t>KB: CHICKEN LOOP QUICK RELEASE</t>
  </si>
  <si>
    <t>KB: CPR CHICKEN LOOP</t>
  </si>
  <si>
    <t>KB: 18M FLYING LINES</t>
  </si>
  <si>
    <t>KB: 23M FLYING LINES</t>
  </si>
  <si>
    <t>KB:  Nirvana 5TH LINE</t>
  </si>
  <si>
    <t>KB: KITE PIGTAILS - 4PCS</t>
  </si>
  <si>
    <t>KB: LINE PIGTAILS - 4PCS</t>
  </si>
  <si>
    <t>KB: ON THE FLY STOPPER BALL</t>
  </si>
  <si>
    <t>KB: KITE PUMP W/ GAUGE and extension tube</t>
  </si>
  <si>
    <t>Logo Banner 3x10</t>
  </si>
  <si>
    <t>Logo Banner 4x5</t>
  </si>
  <si>
    <t>Logo Banner 3x8</t>
  </si>
  <si>
    <t>Plastic Wall Signs 2 ft x 6 in</t>
  </si>
  <si>
    <t>Event Flag - 4M</t>
  </si>
  <si>
    <t>Part#</t>
  </si>
  <si>
    <t>DESCRIPTION</t>
  </si>
  <si>
    <t>Retail</t>
  </si>
  <si>
    <t>Totals</t>
  </si>
  <si>
    <t>Accessories</t>
  </si>
  <si>
    <t>June 1 and beyond</t>
  </si>
  <si>
    <t>Net 30</t>
  </si>
  <si>
    <t>Jan 1-Feb 28</t>
  </si>
  <si>
    <t>Aug 1-Dec 31</t>
  </si>
  <si>
    <t>$5000-$20,000</t>
  </si>
  <si>
    <t>$20,001-$30,000</t>
  </si>
  <si>
    <t>$30,001-$60,000</t>
  </si>
  <si>
    <t>$60,001+</t>
  </si>
  <si>
    <t>Ship Between:</t>
  </si>
  <si>
    <t>All Categories Discount:</t>
  </si>
  <si>
    <t>3% Discount for purchasing all LF categories*</t>
  </si>
  <si>
    <t>2011 Price Sheets</t>
  </si>
  <si>
    <t>All Categories Buy</t>
  </si>
  <si>
    <t>Ship Date #1</t>
  </si>
  <si>
    <t>Ship Date #2</t>
  </si>
  <si>
    <t>Ship Date #3</t>
  </si>
  <si>
    <t>Cancel Date #1</t>
  </si>
  <si>
    <t>Cancel Date #2</t>
  </si>
  <si>
    <t>Customer PO #1</t>
  </si>
  <si>
    <t>Customer PO #2</t>
  </si>
  <si>
    <t>Customer PO #3</t>
  </si>
  <si>
    <t>Cancel Date #3</t>
  </si>
  <si>
    <t>Ship 1</t>
  </si>
  <si>
    <t>Ship 2</t>
  </si>
  <si>
    <t>Ship 3</t>
  </si>
  <si>
    <t>Total Qty</t>
  </si>
  <si>
    <t>Terms #1</t>
  </si>
  <si>
    <t>Terms #2</t>
  </si>
  <si>
    <t>Terms #3</t>
  </si>
  <si>
    <t>Units</t>
  </si>
  <si>
    <t>Wholesale Cost</t>
  </si>
  <si>
    <t>Dealer Net Cost</t>
  </si>
  <si>
    <t>Shipment Totals</t>
  </si>
  <si>
    <t>WATSON COMP LG RED</t>
  </si>
  <si>
    <t>WATSON COMP XL RED</t>
  </si>
  <si>
    <t>WATSON COMP SM GRN</t>
  </si>
  <si>
    <t>LF: HELMET DAISY M</t>
  </si>
  <si>
    <t>LF: HELMET DROP S</t>
  </si>
  <si>
    <t>LF: HELMET DROP M</t>
  </si>
  <si>
    <t>LF: HELMET DROP L</t>
  </si>
  <si>
    <t>LF: HELMET DROP XL</t>
  </si>
  <si>
    <t>LF: HELMET CORE S</t>
  </si>
  <si>
    <t>LF TOWEL</t>
  </si>
  <si>
    <t>BUSHWOOD GOLF PLAID</t>
  </si>
  <si>
    <t>WHEELED TRAVEL TM EDITION</t>
  </si>
  <si>
    <t>WHEELED Skate Travel</t>
  </si>
  <si>
    <t>BACK PACK WHEELED</t>
  </si>
  <si>
    <t>BACK PACK XL</t>
  </si>
  <si>
    <t>DROP SCHOOL PACK</t>
  </si>
  <si>
    <t>WATSON COMP MD GRN</t>
  </si>
  <si>
    <t>WATSON COMP LG GRN</t>
  </si>
  <si>
    <t>WATSON COMP XL GRN</t>
  </si>
  <si>
    <t>Laptop Sleeve 13"</t>
  </si>
  <si>
    <t>Laptop Sleeve 15"</t>
  </si>
  <si>
    <t>Mesh Wet Bag</t>
  </si>
  <si>
    <t>Back Pack</t>
  </si>
  <si>
    <t>Lap Top Bag</t>
  </si>
  <si>
    <t>Messenger bag</t>
  </si>
  <si>
    <t>Day Tripper</t>
  </si>
  <si>
    <t>Day Tripper DLX</t>
  </si>
  <si>
    <t>Weekender</t>
  </si>
  <si>
    <t>Wheeled Travel</t>
  </si>
  <si>
    <t>Bushwood Golf Blk</t>
  </si>
  <si>
    <t>Skate Bag</t>
  </si>
  <si>
    <t>PARTY CHAIR</t>
  </si>
  <si>
    <t>Kites-Bars</t>
  </si>
  <si>
    <t>EDGE 136</t>
  </si>
  <si>
    <t>EDGE 146</t>
  </si>
  <si>
    <t>CONTACT 134</t>
  </si>
  <si>
    <t>CONTACT 137</t>
  </si>
  <si>
    <t>FULL CONTACT</t>
  </si>
  <si>
    <t>Boot Shelf</t>
  </si>
  <si>
    <t>Single Board Display Stand</t>
  </si>
  <si>
    <t>Helmet Fixture</t>
  </si>
  <si>
    <t>PARTY DONUT 56</t>
  </si>
  <si>
    <t>PARTY ISLAND - NON TOWABLE</t>
  </si>
  <si>
    <t>PARTY ISLAND - TOWABLE</t>
  </si>
  <si>
    <t>PAR-D 62</t>
  </si>
  <si>
    <t>PAR-D 76</t>
  </si>
  <si>
    <t>PARTY MACHINE 2.0</t>
  </si>
  <si>
    <t>PARTY MACHINE 3.0</t>
  </si>
  <si>
    <t>PARTY SECTIONAL</t>
  </si>
  <si>
    <t>Comp Vests</t>
  </si>
  <si>
    <t>TEAM COMP XLARGE CLASSIC</t>
  </si>
  <si>
    <t>CARDIGAN WM COMP XS BLACK</t>
  </si>
  <si>
    <t>CARDIGAN WM COMP SM BLACK</t>
  </si>
  <si>
    <t>CARDIGAN WM COMP MD BLACK</t>
  </si>
  <si>
    <t>CARDIGAN WM COMP LG BLACK</t>
  </si>
  <si>
    <t>CARDIGAN WM COMP XS BLU</t>
  </si>
  <si>
    <t>INFLUENCE MINI 126</t>
  </si>
  <si>
    <t>INFLUENCE 133</t>
  </si>
  <si>
    <t>INFLUENCE 137</t>
  </si>
  <si>
    <t>INFLUENCE 141</t>
  </si>
  <si>
    <t>BLISS 129</t>
  </si>
  <si>
    <t>BLISS 134</t>
  </si>
  <si>
    <t>NOVA 133</t>
  </si>
  <si>
    <t>NOVA 136</t>
  </si>
  <si>
    <t>NOVA 139</t>
  </si>
  <si>
    <t xml:space="preserve"> DLX 134</t>
  </si>
  <si>
    <t>DLX 138</t>
  </si>
  <si>
    <t>DLX 142</t>
  </si>
  <si>
    <t>INFLUENCE LFX 134</t>
  </si>
  <si>
    <t>INFLUENCE LFX 138</t>
  </si>
  <si>
    <t>INFLUENCE LFX 142</t>
  </si>
  <si>
    <t>LF SURFBOARD 5'9" CJ  BXP3</t>
  </si>
  <si>
    <t>LF SURFBOARD 6'0" EPS</t>
  </si>
  <si>
    <t>LF SURFBOARD 5'10" EPS</t>
  </si>
  <si>
    <t>LF SURFBOARD 5'7" FCD EPS</t>
  </si>
  <si>
    <t>Kiteboards</t>
  </si>
  <si>
    <t>2012 Price Sheets and Order Form</t>
  </si>
  <si>
    <t>PROFILE HARNESS W/BAR LG</t>
  </si>
  <si>
    <t>PROFILE HARNESS W/BAR XL</t>
  </si>
  <si>
    <t>ENVY- Packages</t>
  </si>
  <si>
    <t>Pads-Straps-Bindings</t>
  </si>
  <si>
    <t>Harnesses</t>
  </si>
  <si>
    <t>Vests</t>
  </si>
  <si>
    <t>2012 Liquid Force Helmets</t>
  </si>
  <si>
    <t>Helmets</t>
  </si>
  <si>
    <t>Bags</t>
  </si>
  <si>
    <t>BLISS WOMENS HARNESS</t>
  </si>
  <si>
    <t>TOTAL HARNESSES</t>
  </si>
  <si>
    <t>Kiteboarding Replacement Fins and Board Hardware</t>
  </si>
  <si>
    <t>Board, Binding and Strap Hardware and Parts</t>
  </si>
  <si>
    <t>Replacement Kite Bladders</t>
  </si>
  <si>
    <t>Kite and Control Bar Replacement Parts</t>
  </si>
  <si>
    <t>Kite Bridle Parts</t>
  </si>
  <si>
    <t>Fins and Spare Parts</t>
  </si>
  <si>
    <t>MAXFLOW POP DISPLAY</t>
  </si>
  <si>
    <t>UNIT TOTALS</t>
  </si>
  <si>
    <t>1.5 GTS (G10)</t>
  </si>
  <si>
    <t>2.0 GTS (G10)</t>
  </si>
  <si>
    <t>1.5  RSX (plastic)</t>
  </si>
  <si>
    <t>2.0 RSX (plastic)</t>
  </si>
  <si>
    <t>1.0 GTS (G10)</t>
  </si>
  <si>
    <t>MELODY COMP MD MELISSA</t>
  </si>
  <si>
    <t>MELODY COMP LG MELISSA</t>
  </si>
  <si>
    <t>WATSON COMP SM RED</t>
  </si>
  <si>
    <t>WATSON COMP MD RED</t>
  </si>
  <si>
    <t>PARTY MATTRESS</t>
  </si>
  <si>
    <t>PARTY PUMP</t>
  </si>
  <si>
    <t>JUMBO PARTY PUMP</t>
  </si>
  <si>
    <t>MEGA PARTY PUMP US</t>
  </si>
  <si>
    <t>IPA's</t>
  </si>
  <si>
    <t>LF Trailer Hitch Cover</t>
  </si>
  <si>
    <t>WH 1</t>
  </si>
  <si>
    <t>WH 2</t>
  </si>
  <si>
    <t>WH 3</t>
  </si>
  <si>
    <t>DP 1</t>
  </si>
  <si>
    <t>DP 2</t>
  </si>
  <si>
    <t>DP 3</t>
  </si>
  <si>
    <t>NA</t>
  </si>
  <si>
    <t>MAP</t>
  </si>
  <si>
    <t>TEAM COMP LARGE CLASSIC</t>
  </si>
  <si>
    <t>Dealer Price</t>
  </si>
  <si>
    <t>Phone</t>
  </si>
  <si>
    <t>Fax</t>
  </si>
  <si>
    <t>Order Date</t>
  </si>
  <si>
    <t>Wholesale</t>
  </si>
  <si>
    <t>Category</t>
  </si>
  <si>
    <t>State</t>
  </si>
  <si>
    <t>Ship To:</t>
  </si>
  <si>
    <t>Rep Name</t>
  </si>
  <si>
    <t>Rep #</t>
  </si>
  <si>
    <t>Early Buy</t>
  </si>
  <si>
    <t>Bill To:</t>
  </si>
  <si>
    <t>Name:</t>
  </si>
  <si>
    <t xml:space="preserve"> </t>
  </si>
  <si>
    <t>Address:</t>
  </si>
  <si>
    <t>City</t>
  </si>
  <si>
    <t>Zip</t>
  </si>
  <si>
    <t>Volume Discount</t>
  </si>
  <si>
    <t>Dealer Name:</t>
  </si>
  <si>
    <t>Discounts &amp; Terms</t>
  </si>
  <si>
    <t>Volume Discount Structure:</t>
  </si>
  <si>
    <t>Payment Due:</t>
  </si>
  <si>
    <t>Early Buy Discount:</t>
  </si>
  <si>
    <t>LF Account Number</t>
  </si>
  <si>
    <t>LF Account #</t>
  </si>
  <si>
    <t>PRICE</t>
  </si>
  <si>
    <t>RETAIL PRICE</t>
  </si>
  <si>
    <t>Retail Price</t>
  </si>
  <si>
    <t>Price</t>
  </si>
  <si>
    <t>KB: NRG BRIDLES 6.0</t>
  </si>
  <si>
    <t>KB: NRG BRIDLES 8.0</t>
  </si>
  <si>
    <t>KB: NRG BRIDLES 10.0</t>
  </si>
  <si>
    <t>KB: NRG BRIDLES 12.0</t>
  </si>
  <si>
    <t>KB: NRG BRIDLES 14.0</t>
  </si>
  <si>
    <t>KB: NRG BRIDLES 16.0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</si>
</sst>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0.0"/>
    <numFmt numFmtId="167" formatCode="&quot;$&quot;#,##0.00"/>
    <numFmt numFmtId="168" formatCode="0_);\(0\)"/>
    <numFmt numFmtId="169" formatCode="&quot;$&quot;#,##0.00;[Red]&quot;$&quot;#,##0.00"/>
    <numFmt numFmtId="170" formatCode="&quot;$&quot;#,##0.0000"/>
  </numFmts>
  <fonts count="10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22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u val="single"/>
      <sz val="18"/>
      <name val="Calibri"/>
      <family val="2"/>
    </font>
    <font>
      <b/>
      <i/>
      <sz val="18"/>
      <color indexed="63"/>
      <name val="Calibri"/>
      <family val="2"/>
    </font>
    <font>
      <i/>
      <sz val="1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u val="single"/>
      <sz val="16"/>
      <color indexed="63"/>
      <name val="Calibri"/>
      <family val="2"/>
    </font>
    <font>
      <i/>
      <sz val="16"/>
      <name val="Calibri"/>
      <family val="2"/>
    </font>
    <font>
      <b/>
      <sz val="16"/>
      <color indexed="10"/>
      <name val="Calibri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4"/>
      <name val="Calibri"/>
      <family val="2"/>
    </font>
    <font>
      <sz val="16"/>
      <color indexed="9"/>
      <name val="Calibri"/>
      <family val="2"/>
    </font>
    <font>
      <b/>
      <sz val="22"/>
      <color indexed="9"/>
      <name val="Calibri"/>
      <family val="2"/>
    </font>
    <font>
      <sz val="20"/>
      <name val="Calibri"/>
      <family val="2"/>
    </font>
    <font>
      <b/>
      <u val="single"/>
      <sz val="20"/>
      <color indexed="9"/>
      <name val="Calibri"/>
      <family val="2"/>
    </font>
    <font>
      <sz val="20"/>
      <color indexed="9"/>
      <name val="Calibri"/>
      <family val="2"/>
    </font>
    <font>
      <b/>
      <u val="single"/>
      <sz val="20"/>
      <color indexed="63"/>
      <name val="Calibri"/>
      <family val="2"/>
    </font>
    <font>
      <i/>
      <sz val="20"/>
      <name val="Calibri"/>
      <family val="2"/>
    </font>
    <font>
      <b/>
      <sz val="20"/>
      <color indexed="9"/>
      <name val="Calibri"/>
      <family val="2"/>
    </font>
    <font>
      <b/>
      <sz val="14"/>
      <color indexed="10"/>
      <name val="Calibri"/>
      <family val="2"/>
    </font>
    <font>
      <sz val="18"/>
      <color indexed="10"/>
      <name val="Calibri"/>
      <family val="2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8"/>
      <color indexed="9"/>
      <name val="Calibri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0"/>
      <color indexed="31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/>
      <protection/>
    </xf>
    <xf numFmtId="2" fontId="10" fillId="0" borderId="0">
      <alignment/>
      <protection/>
    </xf>
    <xf numFmtId="0" fontId="34" fillId="0" borderId="0">
      <alignment vertical="top"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13" xfId="0" applyFont="1" applyBorder="1" applyAlignment="1" applyProtection="1">
      <alignment horizontal="center" vertical="center"/>
      <protection/>
    </xf>
    <xf numFmtId="1" fontId="31" fillId="0" borderId="13" xfId="0" applyNumberFormat="1" applyFont="1" applyFill="1" applyBorder="1" applyAlignment="1" applyProtection="1">
      <alignment horizontal="center" wrapText="1"/>
      <protection/>
    </xf>
    <xf numFmtId="0" fontId="31" fillId="0" borderId="13" xfId="0" applyFont="1" applyFill="1" applyBorder="1" applyAlignment="1" applyProtection="1">
      <alignment horizontal="center"/>
      <protection/>
    </xf>
    <xf numFmtId="44" fontId="31" fillId="0" borderId="14" xfId="44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44" fontId="31" fillId="0" borderId="15" xfId="44" applyFont="1" applyFill="1" applyBorder="1" applyAlignment="1" applyProtection="1">
      <alignment horizontal="center"/>
      <protection/>
    </xf>
    <xf numFmtId="167" fontId="32" fillId="0" borderId="15" xfId="0" applyNumberFormat="1" applyFont="1" applyFill="1" applyBorder="1" applyAlignment="1" applyProtection="1">
      <alignment horizontal="center"/>
      <protection/>
    </xf>
    <xf numFmtId="167" fontId="32" fillId="33" borderId="15" xfId="0" applyNumberFormat="1" applyFont="1" applyFill="1" applyBorder="1" applyAlignment="1" applyProtection="1">
      <alignment horizontal="center"/>
      <protection/>
    </xf>
    <xf numFmtId="44" fontId="31" fillId="0" borderId="16" xfId="44" applyNumberFormat="1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center"/>
      <protection/>
    </xf>
    <xf numFmtId="167" fontId="32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1" fillId="0" borderId="18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4" fontId="30" fillId="34" borderId="20" xfId="44" applyFont="1" applyFill="1" applyBorder="1" applyAlignment="1" applyProtection="1">
      <alignment/>
      <protection/>
    </xf>
    <xf numFmtId="0" fontId="29" fillId="34" borderId="21" xfId="0" applyFont="1" applyFill="1" applyBorder="1" applyAlignment="1" applyProtection="1">
      <alignment horizontal="left"/>
      <protection/>
    </xf>
    <xf numFmtId="0" fontId="30" fillId="34" borderId="0" xfId="0" applyFont="1" applyFill="1" applyBorder="1" applyAlignment="1" applyProtection="1">
      <alignment horizontal="left"/>
      <protection/>
    </xf>
    <xf numFmtId="44" fontId="29" fillId="34" borderId="0" xfId="44" applyFont="1" applyFill="1" applyBorder="1" applyAlignment="1" applyProtection="1">
      <alignment horizontal="center"/>
      <protection/>
    </xf>
    <xf numFmtId="44" fontId="30" fillId="34" borderId="22" xfId="44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/>
      <protection/>
    </xf>
    <xf numFmtId="0" fontId="33" fillId="34" borderId="23" xfId="0" applyFont="1" applyFill="1" applyBorder="1" applyAlignment="1" applyProtection="1">
      <alignment/>
      <protection/>
    </xf>
    <xf numFmtId="0" fontId="33" fillId="34" borderId="24" xfId="0" applyFont="1" applyFill="1" applyBorder="1" applyAlignment="1" applyProtection="1">
      <alignment/>
      <protection/>
    </xf>
    <xf numFmtId="0" fontId="33" fillId="34" borderId="25" xfId="0" applyFont="1" applyFill="1" applyBorder="1" applyAlignment="1" applyProtection="1">
      <alignment/>
      <protection/>
    </xf>
    <xf numFmtId="44" fontId="33" fillId="34" borderId="26" xfId="0" applyNumberFormat="1" applyFont="1" applyFill="1" applyBorder="1" applyAlignment="1" applyProtection="1">
      <alignment/>
      <protection/>
    </xf>
    <xf numFmtId="41" fontId="31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5" fillId="0" borderId="0" xfId="64" applyFont="1">
      <alignment vertical="top"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center"/>
      <protection/>
    </xf>
    <xf numFmtId="167" fontId="32" fillId="0" borderId="0" xfId="0" applyNumberFormat="1" applyFont="1" applyFill="1" applyBorder="1" applyAlignment="1" applyProtection="1">
      <alignment horizontal="center"/>
      <protection/>
    </xf>
    <xf numFmtId="167" fontId="32" fillId="33" borderId="0" xfId="0" applyNumberFormat="1" applyFont="1" applyFill="1" applyBorder="1" applyAlignment="1" applyProtection="1">
      <alignment horizontal="center"/>
      <protection/>
    </xf>
    <xf numFmtId="44" fontId="31" fillId="0" borderId="0" xfId="44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/>
    </xf>
    <xf numFmtId="0" fontId="7" fillId="35" borderId="0" xfId="44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 horizontal="center"/>
    </xf>
    <xf numFmtId="0" fontId="12" fillId="35" borderId="0" xfId="0" applyNumberFormat="1" applyFont="1" applyFill="1" applyBorder="1" applyAlignment="1">
      <alignment horizontal="right"/>
    </xf>
    <xf numFmtId="0" fontId="13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>
      <alignment horizontal="left"/>
    </xf>
    <xf numFmtId="0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/>
    </xf>
    <xf numFmtId="0" fontId="14" fillId="35" borderId="0" xfId="0" applyNumberFormat="1" applyFont="1" applyFill="1" applyBorder="1" applyAlignment="1">
      <alignment/>
    </xf>
    <xf numFmtId="0" fontId="14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>
      <alignment horizontal="center"/>
    </xf>
    <xf numFmtId="0" fontId="14" fillId="35" borderId="0" xfId="0" applyNumberFormat="1" applyFont="1" applyFill="1" applyBorder="1" applyAlignment="1">
      <alignment horizontal="right" vertical="center"/>
    </xf>
    <xf numFmtId="0" fontId="12" fillId="35" borderId="0" xfId="0" applyNumberFormat="1" applyFont="1" applyFill="1" applyBorder="1" applyAlignment="1">
      <alignment horizontal="left"/>
    </xf>
    <xf numFmtId="41" fontId="14" fillId="35" borderId="0" xfId="0" applyNumberFormat="1" applyFont="1" applyFill="1" applyBorder="1" applyAlignment="1">
      <alignment horizontal="center"/>
    </xf>
    <xf numFmtId="0" fontId="22" fillId="36" borderId="0" xfId="0" applyNumberFormat="1" applyFont="1" applyFill="1" applyBorder="1" applyAlignment="1">
      <alignment horizontal="right"/>
    </xf>
    <xf numFmtId="0" fontId="12" fillId="36" borderId="0" xfId="0" applyNumberFormat="1" applyFont="1" applyFill="1" applyBorder="1" applyAlignment="1">
      <alignment horizontal="center"/>
    </xf>
    <xf numFmtId="0" fontId="13" fillId="36" borderId="0" xfId="0" applyNumberFormat="1" applyFont="1" applyFill="1" applyBorder="1" applyAlignment="1">
      <alignment horizontal="center"/>
    </xf>
    <xf numFmtId="0" fontId="14" fillId="36" borderId="0" xfId="0" applyNumberFormat="1" applyFont="1" applyFill="1" applyBorder="1" applyAlignment="1">
      <alignment horizontal="center"/>
    </xf>
    <xf numFmtId="41" fontId="14" fillId="36" borderId="0" xfId="0" applyNumberFormat="1" applyFont="1" applyFill="1" applyBorder="1" applyAlignment="1">
      <alignment horizontal="center"/>
    </xf>
    <xf numFmtId="0" fontId="12" fillId="36" borderId="0" xfId="0" applyNumberFormat="1" applyFont="1" applyFill="1" applyBorder="1" applyAlignment="1">
      <alignment horizontal="right"/>
    </xf>
    <xf numFmtId="0" fontId="8" fillId="35" borderId="0" xfId="0" applyNumberFormat="1" applyFont="1" applyFill="1" applyBorder="1" applyAlignment="1">
      <alignment horizontal="center"/>
    </xf>
    <xf numFmtId="0" fontId="22" fillId="35" borderId="0" xfId="63" applyNumberFormat="1" applyFont="1" applyFill="1" applyBorder="1" applyAlignment="1">
      <alignment horizontal="center" vertical="center"/>
      <protection/>
    </xf>
    <xf numFmtId="0" fontId="14" fillId="36" borderId="0" xfId="0" applyNumberFormat="1" applyFont="1" applyFill="1" applyBorder="1" applyAlignment="1">
      <alignment horizontal="right" vertical="center"/>
    </xf>
    <xf numFmtId="0" fontId="13" fillId="35" borderId="0" xfId="63" applyNumberFormat="1" applyFont="1" applyFill="1" applyBorder="1" applyAlignment="1">
      <alignment horizontal="center" vertical="center"/>
      <protection/>
    </xf>
    <xf numFmtId="0" fontId="14" fillId="35" borderId="0" xfId="63" applyNumberFormat="1" applyFont="1" applyFill="1" applyBorder="1" applyAlignment="1">
      <alignment horizontal="center" vertical="center"/>
      <protection/>
    </xf>
    <xf numFmtId="0" fontId="19" fillId="35" borderId="0" xfId="0" applyNumberFormat="1" applyFont="1" applyFill="1" applyBorder="1" applyAlignment="1">
      <alignment horizontal="center" vertical="center"/>
    </xf>
    <xf numFmtId="0" fontId="23" fillId="35" borderId="0" xfId="63" applyNumberFormat="1" applyFont="1" applyFill="1" applyBorder="1" applyAlignment="1">
      <alignment/>
      <protection/>
    </xf>
    <xf numFmtId="0" fontId="24" fillId="35" borderId="0" xfId="63" applyNumberFormat="1" applyFont="1" applyFill="1" applyBorder="1" applyAlignment="1">
      <alignment horizontal="left" vertical="center"/>
      <protection/>
    </xf>
    <xf numFmtId="0" fontId="16" fillId="35" borderId="0" xfId="63" applyNumberFormat="1" applyFont="1" applyFill="1" applyBorder="1" applyAlignment="1">
      <alignment horizontal="right"/>
      <protection/>
    </xf>
    <xf numFmtId="0" fontId="16" fillId="35" borderId="0" xfId="63" applyNumberFormat="1" applyFont="1" applyFill="1" applyBorder="1" applyAlignment="1">
      <alignment/>
      <protection/>
    </xf>
    <xf numFmtId="0" fontId="12" fillId="35" borderId="0" xfId="63" applyNumberFormat="1" applyFont="1" applyFill="1" applyBorder="1" applyAlignment="1">
      <alignment vertical="center"/>
      <protection/>
    </xf>
    <xf numFmtId="0" fontId="17" fillId="35" borderId="0" xfId="63" applyNumberFormat="1" applyFont="1" applyFill="1" applyBorder="1" applyAlignment="1">
      <alignment horizontal="left" vertical="center"/>
      <protection/>
    </xf>
    <xf numFmtId="0" fontId="15" fillId="35" borderId="0" xfId="63" applyNumberFormat="1" applyFont="1" applyFill="1" applyBorder="1" applyAlignment="1">
      <alignment horizontal="center" vertical="center"/>
      <protection/>
    </xf>
    <xf numFmtId="0" fontId="12" fillId="35" borderId="0" xfId="63" applyNumberFormat="1" applyFont="1" applyFill="1" applyBorder="1" applyAlignment="1">
      <alignment horizontal="center" vertical="center"/>
      <protection/>
    </xf>
    <xf numFmtId="0" fontId="25" fillId="35" borderId="0" xfId="0" applyNumberFormat="1" applyFont="1" applyFill="1" applyBorder="1" applyAlignment="1">
      <alignment horizontal="left" vertical="center"/>
    </xf>
    <xf numFmtId="0" fontId="26" fillId="35" borderId="0" xfId="63" applyNumberFormat="1" applyFont="1" applyFill="1" applyBorder="1" applyAlignment="1">
      <alignment vertical="center"/>
      <protection/>
    </xf>
    <xf numFmtId="0" fontId="19" fillId="35" borderId="0" xfId="0" applyNumberFormat="1" applyFont="1" applyFill="1" applyBorder="1" applyAlignment="1">
      <alignment/>
    </xf>
    <xf numFmtId="0" fontId="19" fillId="35" borderId="0" xfId="63" applyNumberFormat="1" applyFont="1" applyFill="1" applyBorder="1" applyAlignment="1">
      <alignment vertical="center"/>
      <protection/>
    </xf>
    <xf numFmtId="0" fontId="27" fillId="35" borderId="0" xfId="0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vertical="center"/>
    </xf>
    <xf numFmtId="41" fontId="14" fillId="33" borderId="15" xfId="0" applyNumberFormat="1" applyFont="1" applyFill="1" applyBorder="1" applyAlignment="1">
      <alignment horizontal="center"/>
    </xf>
    <xf numFmtId="41" fontId="14" fillId="37" borderId="15" xfId="0" applyNumberFormat="1" applyFont="1" applyFill="1" applyBorder="1" applyAlignment="1">
      <alignment horizontal="center"/>
    </xf>
    <xf numFmtId="41" fontId="14" fillId="33" borderId="15" xfId="63" applyNumberFormat="1" applyFont="1" applyFill="1" applyBorder="1" applyAlignment="1">
      <alignment horizontal="center" vertical="center"/>
      <protection/>
    </xf>
    <xf numFmtId="44" fontId="13" fillId="35" borderId="0" xfId="63" applyNumberFormat="1" applyFont="1" applyFill="1" applyBorder="1" applyAlignment="1">
      <alignment horizontal="center" vertical="center"/>
      <protection/>
    </xf>
    <xf numFmtId="44" fontId="12" fillId="35" borderId="0" xfId="63" applyNumberFormat="1" applyFont="1" applyFill="1" applyBorder="1" applyAlignment="1">
      <alignment horizontal="center" vertical="center"/>
      <protection/>
    </xf>
    <xf numFmtId="44" fontId="12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3" fontId="7" fillId="35" borderId="0" xfId="44" applyNumberFormat="1" applyFont="1" applyFill="1" applyBorder="1" applyAlignment="1">
      <alignment/>
    </xf>
    <xf numFmtId="0" fontId="28" fillId="35" borderId="0" xfId="0" applyFont="1" applyFill="1" applyBorder="1" applyAlignment="1">
      <alignment/>
    </xf>
    <xf numFmtId="43" fontId="28" fillId="35" borderId="0" xfId="44" applyNumberFormat="1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/>
    </xf>
    <xf numFmtId="2" fontId="14" fillId="35" borderId="0" xfId="63" applyFont="1" applyFill="1" applyBorder="1" applyAlignment="1">
      <alignment vertical="center"/>
      <protection/>
    </xf>
    <xf numFmtId="0" fontId="8" fillId="35" borderId="0" xfId="0" applyFont="1" applyFill="1" applyBorder="1" applyAlignment="1">
      <alignment horizontal="center"/>
    </xf>
    <xf numFmtId="0" fontId="37" fillId="38" borderId="0" xfId="63" applyNumberFormat="1" applyFont="1" applyFill="1" applyBorder="1" applyAlignment="1">
      <alignment vertical="center"/>
      <protection/>
    </xf>
    <xf numFmtId="0" fontId="38" fillId="38" borderId="0" xfId="63" applyNumberFormat="1" applyFont="1" applyFill="1" applyBorder="1" applyAlignment="1">
      <alignment vertical="center"/>
      <protection/>
    </xf>
    <xf numFmtId="0" fontId="38" fillId="38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3" fontId="14" fillId="33" borderId="15" xfId="0" applyNumberFormat="1" applyFont="1" applyFill="1" applyBorder="1" applyAlignment="1">
      <alignment horizontal="center"/>
    </xf>
    <xf numFmtId="43" fontId="14" fillId="35" borderId="0" xfId="0" applyNumberFormat="1" applyFont="1" applyFill="1" applyBorder="1" applyAlignment="1">
      <alignment horizontal="center"/>
    </xf>
    <xf numFmtId="43" fontId="14" fillId="36" borderId="0" xfId="0" applyNumberFormat="1" applyFont="1" applyFill="1" applyBorder="1" applyAlignment="1">
      <alignment horizontal="center"/>
    </xf>
    <xf numFmtId="43" fontId="14" fillId="37" borderId="15" xfId="0" applyNumberFormat="1" applyFont="1" applyFill="1" applyBorder="1" applyAlignment="1">
      <alignment horizontal="center"/>
    </xf>
    <xf numFmtId="43" fontId="14" fillId="33" borderId="15" xfId="63" applyNumberFormat="1" applyFont="1" applyFill="1" applyBorder="1" applyAlignment="1">
      <alignment horizontal="center" vertical="center"/>
      <protection/>
    </xf>
    <xf numFmtId="43" fontId="14" fillId="35" borderId="0" xfId="63" applyNumberFormat="1" applyFont="1" applyFill="1" applyBorder="1" applyAlignment="1">
      <alignment horizontal="center" vertical="center"/>
      <protection/>
    </xf>
    <xf numFmtId="43" fontId="14" fillId="35" borderId="0" xfId="69" applyNumberFormat="1" applyFont="1" applyFill="1" applyBorder="1" applyAlignment="1">
      <alignment horizontal="center" vertical="center"/>
    </xf>
    <xf numFmtId="43" fontId="13" fillId="35" borderId="0" xfId="63" applyNumberFormat="1" applyFont="1" applyFill="1" applyBorder="1" applyAlignment="1">
      <alignment horizontal="center" vertical="center"/>
      <protection/>
    </xf>
    <xf numFmtId="41" fontId="13" fillId="33" borderId="15" xfId="0" applyNumberFormat="1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 horizontal="right"/>
    </xf>
    <xf numFmtId="49" fontId="39" fillId="35" borderId="0" xfId="0" applyNumberFormat="1" applyFont="1" applyFill="1" applyBorder="1" applyAlignment="1">
      <alignment horizontal="right"/>
    </xf>
    <xf numFmtId="49" fontId="39" fillId="35" borderId="0" xfId="0" applyNumberFormat="1" applyFont="1" applyFill="1" applyBorder="1" applyAlignment="1">
      <alignment/>
    </xf>
    <xf numFmtId="49" fontId="39" fillId="33" borderId="27" xfId="0" applyNumberFormat="1" applyFont="1" applyFill="1" applyBorder="1" applyAlignment="1">
      <alignment/>
    </xf>
    <xf numFmtId="49" fontId="39" fillId="33" borderId="15" xfId="0" applyNumberFormat="1" applyFont="1" applyFill="1" applyBorder="1" applyAlignment="1">
      <alignment horizontal="left"/>
    </xf>
    <xf numFmtId="0" fontId="39" fillId="33" borderId="15" xfId="0" applyFont="1" applyFill="1" applyBorder="1" applyAlignment="1">
      <alignment horizontal="center"/>
    </xf>
    <xf numFmtId="49" fontId="39" fillId="33" borderId="15" xfId="0" applyNumberFormat="1" applyFont="1" applyFill="1" applyBorder="1" applyAlignment="1">
      <alignment/>
    </xf>
    <xf numFmtId="164" fontId="39" fillId="35" borderId="0" xfId="0" applyNumberFormat="1" applyFont="1" applyFill="1" applyBorder="1" applyAlignment="1">
      <alignment horizontal="left"/>
    </xf>
    <xf numFmtId="164" fontId="39" fillId="35" borderId="0" xfId="0" applyNumberFormat="1" applyFont="1" applyFill="1" applyBorder="1" applyAlignment="1">
      <alignment horizontal="center"/>
    </xf>
    <xf numFmtId="4" fontId="39" fillId="35" borderId="0" xfId="0" applyNumberFormat="1" applyFont="1" applyFill="1" applyBorder="1" applyAlignment="1">
      <alignment horizontal="right"/>
    </xf>
    <xf numFmtId="0" fontId="21" fillId="36" borderId="0" xfId="0" applyFont="1" applyFill="1" applyBorder="1" applyAlignment="1">
      <alignment horizontal="right"/>
    </xf>
    <xf numFmtId="0" fontId="39" fillId="35" borderId="0" xfId="0" applyFont="1" applyFill="1" applyBorder="1" applyAlignment="1">
      <alignment horizontal="center"/>
    </xf>
    <xf numFmtId="165" fontId="39" fillId="35" borderId="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/>
    </xf>
    <xf numFmtId="0" fontId="3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right"/>
    </xf>
    <xf numFmtId="4" fontId="39" fillId="36" borderId="0" xfId="0" applyNumberFormat="1" applyFont="1" applyFill="1" applyBorder="1" applyAlignment="1">
      <alignment horizontal="center"/>
    </xf>
    <xf numFmtId="2" fontId="39" fillId="35" borderId="0" xfId="0" applyNumberFormat="1" applyFont="1" applyFill="1" applyBorder="1" applyAlignment="1">
      <alignment/>
    </xf>
    <xf numFmtId="43" fontId="39" fillId="35" borderId="0" xfId="44" applyNumberFormat="1" applyFont="1" applyFill="1" applyBorder="1" applyAlignment="1">
      <alignment/>
    </xf>
    <xf numFmtId="166" fontId="39" fillId="35" borderId="0" xfId="0" applyNumberFormat="1" applyFont="1" applyFill="1" applyBorder="1" applyAlignment="1">
      <alignment horizontal="center"/>
    </xf>
    <xf numFmtId="2" fontId="21" fillId="35" borderId="0" xfId="63" applyFont="1" applyFill="1" applyBorder="1" applyAlignment="1">
      <alignment horizontal="right"/>
      <protection/>
    </xf>
    <xf numFmtId="0" fontId="39" fillId="35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left"/>
    </xf>
    <xf numFmtId="2" fontId="40" fillId="38" borderId="0" xfId="63" applyFont="1" applyFill="1" applyBorder="1" applyAlignment="1">
      <alignment vertical="center"/>
      <protection/>
    </xf>
    <xf numFmtId="2" fontId="39" fillId="35" borderId="0" xfId="63" applyFont="1" applyFill="1" applyBorder="1" applyAlignment="1">
      <alignment horizontal="center" vertical="center"/>
      <protection/>
    </xf>
    <xf numFmtId="2" fontId="41" fillId="38" borderId="0" xfId="63" applyFont="1" applyFill="1" applyBorder="1" applyAlignment="1">
      <alignment horizontal="center" vertical="center"/>
      <protection/>
    </xf>
    <xf numFmtId="0" fontId="21" fillId="36" borderId="0" xfId="0" applyNumberFormat="1" applyFont="1" applyFill="1" applyBorder="1" applyAlignment="1">
      <alignment horizontal="center"/>
    </xf>
    <xf numFmtId="44" fontId="31" fillId="0" borderId="15" xfId="44" applyNumberFormat="1" applyFont="1" applyFill="1" applyBorder="1" applyAlignment="1" applyProtection="1">
      <alignment horizontal="center"/>
      <protection/>
    </xf>
    <xf numFmtId="0" fontId="35" fillId="0" borderId="15" xfId="62" applyFont="1" applyFill="1" applyBorder="1" applyAlignment="1">
      <alignment horizontal="left"/>
      <protection/>
    </xf>
    <xf numFmtId="167" fontId="31" fillId="0" borderId="15" xfId="62" applyNumberFormat="1" applyFont="1" applyFill="1" applyBorder="1" applyAlignment="1">
      <alignment horizontal="center"/>
      <protection/>
    </xf>
    <xf numFmtId="167" fontId="31" fillId="33" borderId="15" xfId="0" applyNumberFormat="1" applyFont="1" applyFill="1" applyBorder="1" applyAlignment="1" applyProtection="1">
      <alignment horizontal="center"/>
      <protection/>
    </xf>
    <xf numFmtId="0" fontId="27" fillId="33" borderId="15" xfId="63" applyNumberFormat="1" applyFont="1" applyFill="1" applyBorder="1" applyAlignment="1">
      <alignment horizontal="center" vertical="center"/>
      <protection/>
    </xf>
    <xf numFmtId="49" fontId="27" fillId="33" borderId="15" xfId="63" applyNumberFormat="1" applyFont="1" applyFill="1" applyBorder="1" applyAlignment="1">
      <alignment horizontal="left" vertical="center"/>
      <protection/>
    </xf>
    <xf numFmtId="1" fontId="27" fillId="33" borderId="15" xfId="63" applyNumberFormat="1" applyFont="1" applyFill="1" applyBorder="1" applyAlignment="1">
      <alignment horizontal="center" vertical="center"/>
      <protection/>
    </xf>
    <xf numFmtId="2" fontId="27" fillId="33" borderId="15" xfId="63" applyFont="1" applyFill="1" applyBorder="1" applyAlignment="1">
      <alignment horizontal="left" vertical="center"/>
      <protection/>
    </xf>
    <xf numFmtId="0" fontId="35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 applyProtection="1">
      <alignment horizontal="center" vertical="top"/>
      <protection/>
    </xf>
    <xf numFmtId="0" fontId="45" fillId="35" borderId="15" xfId="0" applyFont="1" applyFill="1" applyBorder="1" applyAlignment="1" applyProtection="1">
      <alignment horizontal="center" vertical="top"/>
      <protection/>
    </xf>
    <xf numFmtId="167" fontId="27" fillId="33" borderId="15" xfId="63" applyNumberFormat="1" applyFont="1" applyFill="1" applyBorder="1" applyAlignment="1">
      <alignment horizontal="center" vertical="center"/>
      <protection/>
    </xf>
    <xf numFmtId="167" fontId="27" fillId="0" borderId="15" xfId="62" applyNumberFormat="1" applyFont="1" applyFill="1" applyBorder="1" applyAlignment="1">
      <alignment horizontal="center"/>
      <protection/>
    </xf>
    <xf numFmtId="0" fontId="46" fillId="35" borderId="0" xfId="63" applyNumberFormat="1" applyFont="1" applyFill="1" applyBorder="1" applyAlignment="1">
      <alignment horizontal="center" vertical="center"/>
      <protection/>
    </xf>
    <xf numFmtId="43" fontId="46" fillId="35" borderId="0" xfId="69" applyNumberFormat="1" applyFont="1" applyFill="1" applyBorder="1" applyAlignment="1">
      <alignment horizontal="center" vertical="center"/>
    </xf>
    <xf numFmtId="41" fontId="46" fillId="35" borderId="0" xfId="0" applyNumberFormat="1" applyFont="1" applyFill="1" applyBorder="1" applyAlignment="1">
      <alignment horizontal="center"/>
    </xf>
    <xf numFmtId="43" fontId="46" fillId="35" borderId="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34" fillId="0" borderId="15" xfId="65" applyFont="1" applyFill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/>
      <protection/>
    </xf>
    <xf numFmtId="0" fontId="48" fillId="39" borderId="22" xfId="0" applyFont="1" applyFill="1" applyBorder="1" applyAlignment="1">
      <alignment horizontal="center" vertical="center"/>
    </xf>
    <xf numFmtId="0" fontId="31" fillId="0" borderId="27" xfId="0" applyFont="1" applyBorder="1" applyAlignment="1" applyProtection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169" fontId="34" fillId="0" borderId="15" xfId="44" applyNumberFormat="1" applyFont="1" applyBorder="1" applyAlignment="1">
      <alignment horizontal="center" vertical="center"/>
    </xf>
    <xf numFmtId="169" fontId="34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/>
    </xf>
    <xf numFmtId="1" fontId="34" fillId="0" borderId="15" xfId="65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9" fillId="39" borderId="17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right"/>
    </xf>
    <xf numFmtId="0" fontId="49" fillId="39" borderId="0" xfId="0" applyFont="1" applyFill="1" applyBorder="1" applyAlignment="1">
      <alignment horizontal="right"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44" fontId="31" fillId="0" borderId="14" xfId="44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5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49" fillId="39" borderId="22" xfId="0" applyFont="1" applyFill="1" applyBorder="1" applyAlignment="1">
      <alignment horizontal="center" vertical="center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horizontal="center" vertical="center"/>
    </xf>
    <xf numFmtId="0" fontId="34" fillId="33" borderId="15" xfId="0" applyFont="1" applyFill="1" applyBorder="1" applyAlignment="1">
      <alignment vertical="top"/>
    </xf>
    <xf numFmtId="0" fontId="34" fillId="33" borderId="15" xfId="0" applyFont="1" applyFill="1" applyBorder="1" applyAlignment="1">
      <alignment horizontal="center" vertical="center"/>
    </xf>
    <xf numFmtId="0" fontId="49" fillId="39" borderId="15" xfId="0" applyFont="1" applyFill="1" applyBorder="1" applyAlignment="1">
      <alignment/>
    </xf>
    <xf numFmtId="0" fontId="49" fillId="39" borderId="0" xfId="0" applyFont="1" applyFill="1" applyAlignment="1">
      <alignment horizontal="center"/>
    </xf>
    <xf numFmtId="49" fontId="34" fillId="0" borderId="15" xfId="65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top"/>
    </xf>
    <xf numFmtId="0" fontId="49" fillId="33" borderId="0" xfId="0" applyFont="1" applyFill="1" applyAlignment="1">
      <alignment horizontal="right"/>
    </xf>
    <xf numFmtId="0" fontId="0" fillId="0" borderId="15" xfId="0" applyFont="1" applyFill="1" applyBorder="1" applyAlignment="1" applyProtection="1">
      <alignment vertical="top"/>
      <protection/>
    </xf>
    <xf numFmtId="49" fontId="27" fillId="33" borderId="15" xfId="63" applyNumberFormat="1" applyFont="1" applyFill="1" applyBorder="1" applyAlignment="1">
      <alignment vertical="center"/>
      <protection/>
    </xf>
    <xf numFmtId="0" fontId="49" fillId="39" borderId="15" xfId="0" applyFont="1" applyFill="1" applyBorder="1" applyAlignment="1">
      <alignment horizontal="center"/>
    </xf>
    <xf numFmtId="0" fontId="31" fillId="0" borderId="29" xfId="0" applyFont="1" applyFill="1" applyBorder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1" fontId="31" fillId="0" borderId="27" xfId="0" applyNumberFormat="1" applyFont="1" applyFill="1" applyBorder="1" applyAlignment="1" applyProtection="1">
      <alignment horizontal="center" vertical="center" wrapText="1"/>
      <protection/>
    </xf>
    <xf numFmtId="0" fontId="31" fillId="0" borderId="27" xfId="0" applyFont="1" applyFill="1" applyBorder="1" applyAlignment="1" applyProtection="1">
      <alignment horizontal="center" vertical="center"/>
      <protection/>
    </xf>
    <xf numFmtId="44" fontId="31" fillId="0" borderId="31" xfId="44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15" xfId="0" applyFont="1" applyFill="1" applyBorder="1" applyAlignment="1" applyProtection="1">
      <alignment horizontal="center" vertical="center"/>
      <protection/>
    </xf>
    <xf numFmtId="1" fontId="31" fillId="0" borderId="15" xfId="0" applyNumberFormat="1" applyFont="1" applyFill="1" applyBorder="1" applyAlignment="1" applyProtection="1">
      <alignment horizontal="center" vertical="center" wrapText="1"/>
      <protection/>
    </xf>
    <xf numFmtId="44" fontId="31" fillId="0" borderId="15" xfId="44" applyFont="1" applyFill="1" applyBorder="1" applyAlignment="1" applyProtection="1">
      <alignment horizontal="center" vertical="center"/>
      <protection/>
    </xf>
    <xf numFmtId="0" fontId="49" fillId="40" borderId="15" xfId="0" applyFont="1" applyFill="1" applyBorder="1" applyAlignment="1">
      <alignment/>
    </xf>
    <xf numFmtId="0" fontId="49" fillId="40" borderId="17" xfId="0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167" fontId="12" fillId="33" borderId="32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1" fontId="53" fillId="0" borderId="15" xfId="0" applyNumberFormat="1" applyFont="1" applyFill="1" applyBorder="1" applyAlignment="1" applyProtection="1">
      <alignment horizontal="center"/>
      <protection/>
    </xf>
    <xf numFmtId="167" fontId="4" fillId="0" borderId="15" xfId="44" applyNumberFormat="1" applyFont="1" applyFill="1" applyBorder="1" applyAlignment="1" applyProtection="1">
      <alignment horizontal="center"/>
      <protection/>
    </xf>
    <xf numFmtId="167" fontId="4" fillId="0" borderId="15" xfId="0" applyNumberFormat="1" applyFont="1" applyFill="1" applyBorder="1" applyAlignment="1" applyProtection="1">
      <alignment horizontal="center"/>
      <protection/>
    </xf>
    <xf numFmtId="167" fontId="53" fillId="33" borderId="15" xfId="0" applyNumberFormat="1" applyFont="1" applyFill="1" applyBorder="1" applyAlignment="1" applyProtection="1">
      <alignment horizontal="center" vertical="center"/>
      <protection/>
    </xf>
    <xf numFmtId="44" fontId="53" fillId="0" borderId="15" xfId="44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167" fontId="4" fillId="33" borderId="15" xfId="0" applyNumberFormat="1" applyFont="1" applyFill="1" applyBorder="1" applyAlignment="1" applyProtection="1">
      <alignment horizontal="center"/>
      <protection/>
    </xf>
    <xf numFmtId="169" fontId="0" fillId="0" borderId="15" xfId="0" applyNumberFormat="1" applyFont="1" applyFill="1" applyBorder="1" applyAlignment="1">
      <alignment horizontal="center" vertical="center"/>
    </xf>
    <xf numFmtId="0" fontId="0" fillId="0" borderId="15" xfId="65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169" fontId="0" fillId="0" borderId="15" xfId="46" applyNumberFormat="1" applyFont="1" applyBorder="1" applyAlignment="1">
      <alignment horizontal="center" vertical="center"/>
    </xf>
    <xf numFmtId="167" fontId="53" fillId="0" borderId="15" xfId="0" applyNumberFormat="1" applyFont="1" applyFill="1" applyBorder="1" applyAlignment="1" applyProtection="1">
      <alignment horizontal="center"/>
      <protection/>
    </xf>
    <xf numFmtId="0" fontId="0" fillId="0" borderId="15" xfId="65" applyNumberFormat="1" applyFont="1" applyBorder="1" applyAlignment="1">
      <alignment horizontal="center" vertical="top"/>
    </xf>
    <xf numFmtId="169" fontId="0" fillId="0" borderId="15" xfId="46" applyNumberFormat="1" applyFont="1" applyFill="1" applyBorder="1" applyAlignment="1">
      <alignment horizontal="center" vertical="center"/>
    </xf>
    <xf numFmtId="0" fontId="0" fillId="0" borderId="15" xfId="65" applyFont="1" applyBorder="1" applyAlignment="1">
      <alignment horizontal="center" vertical="top"/>
    </xf>
    <xf numFmtId="169" fontId="0" fillId="0" borderId="15" xfId="0" applyNumberFormat="1" applyFont="1" applyBorder="1" applyAlignment="1">
      <alignment horizontal="center" vertical="center"/>
    </xf>
    <xf numFmtId="0" fontId="0" fillId="0" borderId="15" xfId="65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34" fillId="0" borderId="15" xfId="0" applyFont="1" applyFill="1" applyBorder="1" applyAlignment="1">
      <alignment horizontal="center"/>
    </xf>
    <xf numFmtId="167" fontId="53" fillId="0" borderId="15" xfId="62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30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1" fontId="53" fillId="0" borderId="27" xfId="0" applyNumberFormat="1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center" vertical="center"/>
      <protection/>
    </xf>
    <xf numFmtId="44" fontId="53" fillId="0" borderId="31" xfId="44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167" fontId="4" fillId="0" borderId="17" xfId="0" applyNumberFormat="1" applyFont="1" applyFill="1" applyBorder="1" applyAlignment="1" applyProtection="1">
      <alignment horizontal="center"/>
      <protection/>
    </xf>
    <xf numFmtId="44" fontId="53" fillId="0" borderId="16" xfId="44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4" fillId="35" borderId="33" xfId="0" applyFont="1" applyFill="1" applyBorder="1" applyAlignment="1">
      <alignment horizontal="center"/>
    </xf>
    <xf numFmtId="41" fontId="53" fillId="0" borderId="27" xfId="0" applyNumberFormat="1" applyFont="1" applyFill="1" applyBorder="1" applyAlignment="1" applyProtection="1">
      <alignment horizontal="center"/>
      <protection/>
    </xf>
    <xf numFmtId="167" fontId="4" fillId="0" borderId="27" xfId="0" applyNumberFormat="1" applyFont="1" applyFill="1" applyBorder="1" applyAlignment="1" applyProtection="1">
      <alignment horizontal="center"/>
      <protection/>
    </xf>
    <xf numFmtId="167" fontId="53" fillId="0" borderId="27" xfId="62" applyNumberFormat="1" applyFont="1" applyFill="1" applyBorder="1" applyAlignment="1">
      <alignment horizontal="center"/>
      <protection/>
    </xf>
    <xf numFmtId="167" fontId="4" fillId="0" borderId="30" xfId="0" applyNumberFormat="1" applyFont="1" applyFill="1" applyBorder="1" applyAlignment="1" applyProtection="1">
      <alignment horizontal="center"/>
      <protection/>
    </xf>
    <xf numFmtId="44" fontId="53" fillId="0" borderId="31" xfId="44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41" fontId="53" fillId="0" borderId="28" xfId="0" applyNumberFormat="1" applyFont="1" applyFill="1" applyBorder="1" applyAlignment="1" applyProtection="1">
      <alignment horizontal="center"/>
      <protection/>
    </xf>
    <xf numFmtId="167" fontId="4" fillId="0" borderId="28" xfId="0" applyNumberFormat="1" applyFont="1" applyFill="1" applyBorder="1" applyAlignment="1" applyProtection="1">
      <alignment horizontal="center"/>
      <protection/>
    </xf>
    <xf numFmtId="167" fontId="53" fillId="0" borderId="28" xfId="62" applyNumberFormat="1" applyFont="1" applyFill="1" applyBorder="1" applyAlignment="1">
      <alignment horizontal="center"/>
      <protection/>
    </xf>
    <xf numFmtId="167" fontId="4" fillId="0" borderId="35" xfId="0" applyNumberFormat="1" applyFont="1" applyFill="1" applyBorder="1" applyAlignment="1" applyProtection="1">
      <alignment horizontal="center"/>
      <protection/>
    </xf>
    <xf numFmtId="44" fontId="53" fillId="0" borderId="36" xfId="44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1" fontId="53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44" fontId="53" fillId="0" borderId="14" xfId="44" applyFont="1" applyFill="1" applyBorder="1" applyAlignment="1" applyProtection="1">
      <alignment horizontal="center" vertical="center"/>
      <protection/>
    </xf>
    <xf numFmtId="0" fontId="0" fillId="39" borderId="22" xfId="0" applyFont="1" applyFill="1" applyBorder="1" applyAlignment="1">
      <alignment vertical="top"/>
    </xf>
    <xf numFmtId="0" fontId="4" fillId="39" borderId="22" xfId="0" applyFont="1" applyFill="1" applyBorder="1" applyAlignment="1">
      <alignment horizontal="center"/>
    </xf>
    <xf numFmtId="41" fontId="53" fillId="39" borderId="22" xfId="0" applyNumberFormat="1" applyFont="1" applyFill="1" applyBorder="1" applyAlignment="1" applyProtection="1">
      <alignment horizontal="center"/>
      <protection/>
    </xf>
    <xf numFmtId="167" fontId="4" fillId="39" borderId="22" xfId="0" applyNumberFormat="1" applyFont="1" applyFill="1" applyBorder="1" applyAlignment="1" applyProtection="1">
      <alignment horizontal="center"/>
      <protection/>
    </xf>
    <xf numFmtId="44" fontId="53" fillId="39" borderId="22" xfId="44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vertical="top"/>
    </xf>
    <xf numFmtId="0" fontId="34" fillId="39" borderId="15" xfId="0" applyFont="1" applyFill="1" applyBorder="1" applyAlignment="1">
      <alignment/>
    </xf>
    <xf numFmtId="0" fontId="54" fillId="39" borderId="15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0" borderId="15" xfId="0" applyFont="1" applyBorder="1" applyAlignment="1">
      <alignment vertical="top"/>
    </xf>
    <xf numFmtId="0" fontId="4" fillId="35" borderId="27" xfId="0" applyFont="1" applyFill="1" applyBorder="1" applyAlignment="1">
      <alignment horizontal="center"/>
    </xf>
    <xf numFmtId="167" fontId="4" fillId="33" borderId="27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center"/>
    </xf>
    <xf numFmtId="41" fontId="53" fillId="33" borderId="15" xfId="0" applyNumberFormat="1" applyFont="1" applyFill="1" applyBorder="1" applyAlignment="1" applyProtection="1">
      <alignment horizontal="center"/>
      <protection/>
    </xf>
    <xf numFmtId="44" fontId="53" fillId="33" borderId="15" xfId="44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vertical="top"/>
    </xf>
    <xf numFmtId="167" fontId="4" fillId="33" borderId="28" xfId="0" applyNumberFormat="1" applyFont="1" applyFill="1" applyBorder="1" applyAlignment="1" applyProtection="1">
      <alignment horizontal="center"/>
      <protection/>
    </xf>
    <xf numFmtId="44" fontId="53" fillId="0" borderId="28" xfId="44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4" fontId="53" fillId="0" borderId="27" xfId="44" applyNumberFormat="1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9" borderId="15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44" fontId="0" fillId="39" borderId="15" xfId="0" applyNumberFormat="1" applyFont="1" applyFill="1" applyBorder="1" applyAlignment="1">
      <alignment/>
    </xf>
    <xf numFmtId="0" fontId="53" fillId="0" borderId="27" xfId="0" applyFont="1" applyFill="1" applyBorder="1" applyAlignment="1" applyProtection="1">
      <alignment horizontal="center"/>
      <protection/>
    </xf>
    <xf numFmtId="0" fontId="53" fillId="0" borderId="30" xfId="0" applyFont="1" applyFill="1" applyBorder="1" applyAlignment="1" applyProtection="1">
      <alignment horizontal="center"/>
      <protection/>
    </xf>
    <xf numFmtId="0" fontId="53" fillId="0" borderId="25" xfId="0" applyFont="1" applyFill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center"/>
      <protection/>
    </xf>
    <xf numFmtId="1" fontId="53" fillId="0" borderId="27" xfId="0" applyNumberFormat="1" applyFont="1" applyFill="1" applyBorder="1" applyAlignment="1" applyProtection="1">
      <alignment horizontal="center" wrapText="1"/>
      <protection/>
    </xf>
    <xf numFmtId="44" fontId="53" fillId="0" borderId="27" xfId="44" applyFont="1" applyFill="1" applyBorder="1" applyAlignment="1" applyProtection="1">
      <alignment horizontal="center"/>
      <protection/>
    </xf>
    <xf numFmtId="0" fontId="0" fillId="41" borderId="15" xfId="0" applyFont="1" applyFill="1" applyBorder="1" applyAlignment="1">
      <alignment/>
    </xf>
    <xf numFmtId="167" fontId="0" fillId="0" borderId="15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/>
    </xf>
    <xf numFmtId="167" fontId="0" fillId="0" borderId="27" xfId="0" applyNumberFormat="1" applyFont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0" borderId="15" xfId="65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top"/>
    </xf>
    <xf numFmtId="167" fontId="0" fillId="0" borderId="15" xfId="0" applyNumberFormat="1" applyFont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0" borderId="15" xfId="0" applyFont="1" applyBorder="1" applyAlignment="1">
      <alignment horizontal="left" vertical="top"/>
    </xf>
    <xf numFmtId="0" fontId="0" fillId="39" borderId="15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44" fontId="0" fillId="33" borderId="15" xfId="0" applyNumberFormat="1" applyFont="1" applyFill="1" applyBorder="1" applyAlignment="1">
      <alignment/>
    </xf>
    <xf numFmtId="0" fontId="34" fillId="0" borderId="15" xfId="0" applyFont="1" applyBorder="1" applyAlignment="1">
      <alignment horizontal="left"/>
    </xf>
    <xf numFmtId="167" fontId="53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34" fillId="39" borderId="0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center"/>
    </xf>
    <xf numFmtId="44" fontId="4" fillId="35" borderId="15" xfId="0" applyNumberFormat="1" applyFont="1" applyFill="1" applyBorder="1" applyAlignment="1">
      <alignment horizontal="center"/>
    </xf>
    <xf numFmtId="0" fontId="34" fillId="0" borderId="15" xfId="62" applyFont="1" applyFill="1" applyBorder="1" applyAlignment="1">
      <alignment horizontal="left"/>
      <protection/>
    </xf>
    <xf numFmtId="0" fontId="0" fillId="0" borderId="15" xfId="62" applyFont="1" applyFill="1" applyBorder="1" applyAlignment="1">
      <alignment horizontal="left" wrapText="1"/>
      <protection/>
    </xf>
    <xf numFmtId="0" fontId="0" fillId="0" borderId="15" xfId="62" applyFont="1" applyFill="1" applyBorder="1" applyAlignment="1">
      <alignment horizontal="left"/>
      <protection/>
    </xf>
    <xf numFmtId="0" fontId="34" fillId="0" borderId="15" xfId="59" applyFont="1" applyFill="1" applyBorder="1" applyAlignment="1">
      <alignment horizontal="left"/>
      <protection/>
    </xf>
    <xf numFmtId="0" fontId="0" fillId="0" borderId="15" xfId="62" applyFont="1" applyFill="1" applyBorder="1" applyAlignment="1">
      <alignment horizontal="left" wrapText="1"/>
      <protection/>
    </xf>
    <xf numFmtId="0" fontId="0" fillId="39" borderId="15" xfId="62" applyFont="1" applyFill="1" applyBorder="1" applyAlignment="1">
      <alignment horizontal="left"/>
      <protection/>
    </xf>
    <xf numFmtId="0" fontId="0" fillId="39" borderId="15" xfId="62" applyFont="1" applyFill="1" applyBorder="1" applyAlignment="1">
      <alignment horizontal="left" wrapText="1"/>
      <protection/>
    </xf>
    <xf numFmtId="41" fontId="53" fillId="39" borderId="15" xfId="0" applyNumberFormat="1" applyFont="1" applyFill="1" applyBorder="1" applyAlignment="1" applyProtection="1">
      <alignment horizontal="center"/>
      <protection/>
    </xf>
    <xf numFmtId="167" fontId="4" fillId="39" borderId="15" xfId="0" applyNumberFormat="1" applyFont="1" applyFill="1" applyBorder="1" applyAlignment="1" applyProtection="1">
      <alignment horizontal="center"/>
      <protection/>
    </xf>
    <xf numFmtId="167" fontId="53" fillId="39" borderId="15" xfId="62" applyNumberFormat="1" applyFont="1" applyFill="1" applyBorder="1" applyAlignment="1">
      <alignment horizontal="center"/>
      <protection/>
    </xf>
    <xf numFmtId="44" fontId="53" fillId="39" borderId="15" xfId="44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65" applyNumberFormat="1" applyFont="1" applyFill="1" applyBorder="1" applyAlignment="1">
      <alignment horizontal="center" vertical="top"/>
    </xf>
    <xf numFmtId="0" fontId="0" fillId="0" borderId="15" xfId="65" applyFont="1" applyFill="1" applyBorder="1" applyAlignment="1">
      <alignment horizontal="center" vertical="top"/>
    </xf>
    <xf numFmtId="8" fontId="0" fillId="0" borderId="15" xfId="0" applyNumberFormat="1" applyFont="1" applyBorder="1" applyAlignment="1">
      <alignment horizontal="center"/>
    </xf>
    <xf numFmtId="7" fontId="53" fillId="0" borderId="15" xfId="44" applyNumberFormat="1" applyFont="1" applyFill="1" applyBorder="1" applyAlignment="1" applyProtection="1">
      <alignment horizontal="center"/>
      <protection/>
    </xf>
    <xf numFmtId="0" fontId="0" fillId="0" borderId="15" xfId="65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42" borderId="2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34" fillId="0" borderId="15" xfId="60" applyFont="1" applyFill="1" applyBorder="1" applyAlignment="1">
      <alignment horizontal="left"/>
      <protection/>
    </xf>
    <xf numFmtId="0" fontId="34" fillId="0" borderId="15" xfId="66" applyFont="1" applyFill="1" applyBorder="1" applyAlignment="1">
      <alignment horizontal="left"/>
      <protection/>
    </xf>
    <xf numFmtId="167" fontId="53" fillId="33" borderId="15" xfId="0" applyNumberFormat="1" applyFont="1" applyFill="1" applyBorder="1" applyAlignment="1" applyProtection="1">
      <alignment horizontal="center"/>
      <protection/>
    </xf>
    <xf numFmtId="0" fontId="34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53" fillId="0" borderId="1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28" fillId="35" borderId="0" xfId="0" applyNumberFormat="1" applyFont="1" applyFill="1" applyBorder="1" applyAlignment="1">
      <alignment horizontal="center"/>
    </xf>
    <xf numFmtId="0" fontId="28" fillId="35" borderId="0" xfId="0" applyFont="1" applyFill="1" applyBorder="1" applyAlignment="1">
      <alignment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1" fontId="53" fillId="0" borderId="15" xfId="0" applyNumberFormat="1" applyFont="1" applyFill="1" applyBorder="1" applyAlignment="1" applyProtection="1">
      <alignment horizontal="center" vertical="center" wrapText="1"/>
      <protection/>
    </xf>
    <xf numFmtId="44" fontId="53" fillId="0" borderId="15" xfId="44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>
      <alignment/>
    </xf>
    <xf numFmtId="43" fontId="7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8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/>
    </xf>
    <xf numFmtId="0" fontId="7" fillId="35" borderId="40" xfId="0" applyFont="1" applyFill="1" applyBorder="1" applyAlignment="1">
      <alignment/>
    </xf>
    <xf numFmtId="43" fontId="7" fillId="35" borderId="40" xfId="44" applyNumberFormat="1" applyFont="1" applyFill="1" applyBorder="1" applyAlignment="1">
      <alignment/>
    </xf>
    <xf numFmtId="0" fontId="7" fillId="35" borderId="41" xfId="0" applyFont="1" applyFill="1" applyBorder="1" applyAlignment="1">
      <alignment/>
    </xf>
    <xf numFmtId="0" fontId="7" fillId="43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28" fillId="35" borderId="20" xfId="0" applyFont="1" applyFill="1" applyBorder="1" applyAlignment="1">
      <alignment/>
    </xf>
    <xf numFmtId="0" fontId="21" fillId="36" borderId="20" xfId="0" applyFont="1" applyFill="1" applyBorder="1" applyAlignment="1">
      <alignment horizontal="center"/>
    </xf>
    <xf numFmtId="0" fontId="39" fillId="35" borderId="20" xfId="0" applyFont="1" applyFill="1" applyBorder="1" applyAlignment="1">
      <alignment/>
    </xf>
    <xf numFmtId="49" fontId="39" fillId="35" borderId="20" xfId="0" applyNumberFormat="1" applyFont="1" applyFill="1" applyBorder="1" applyAlignment="1">
      <alignment/>
    </xf>
    <xf numFmtId="0" fontId="39" fillId="35" borderId="20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4" fontId="39" fillId="36" borderId="20" xfId="0" applyNumberFormat="1" applyFont="1" applyFill="1" applyBorder="1" applyAlignment="1">
      <alignment horizontal="center"/>
    </xf>
    <xf numFmtId="166" fontId="39" fillId="35" borderId="20" xfId="0" applyNumberFormat="1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/>
    </xf>
    <xf numFmtId="0" fontId="7" fillId="43" borderId="19" xfId="0" applyFont="1" applyFill="1" applyBorder="1" applyAlignment="1">
      <alignment/>
    </xf>
    <xf numFmtId="0" fontId="28" fillId="35" borderId="2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20" xfId="0" applyFont="1" applyFill="1" applyBorder="1" applyAlignment="1">
      <alignment horizontal="center" vertical="center"/>
    </xf>
    <xf numFmtId="0" fontId="5" fillId="43" borderId="19" xfId="0" applyFont="1" applyFill="1" applyBorder="1" applyAlignment="1">
      <alignment horizontal="center"/>
    </xf>
    <xf numFmtId="0" fontId="7" fillId="35" borderId="42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8" fillId="43" borderId="44" xfId="0" applyNumberFormat="1" applyFont="1" applyFill="1" applyBorder="1" applyAlignment="1">
      <alignment horizontal="center"/>
    </xf>
    <xf numFmtId="0" fontId="20" fillId="35" borderId="42" xfId="0" applyNumberFormat="1" applyFont="1" applyFill="1" applyBorder="1" applyAlignment="1">
      <alignment horizontal="center"/>
    </xf>
    <xf numFmtId="2" fontId="40" fillId="38" borderId="30" xfId="63" applyFont="1" applyFill="1" applyBorder="1" applyAlignment="1">
      <alignment vertical="center"/>
      <protection/>
    </xf>
    <xf numFmtId="0" fontId="41" fillId="38" borderId="25" xfId="0" applyFont="1" applyFill="1" applyBorder="1" applyAlignment="1">
      <alignment/>
    </xf>
    <xf numFmtId="9" fontId="41" fillId="38" borderId="25" xfId="69" applyFont="1" applyFill="1" applyBorder="1" applyAlignment="1">
      <alignment vertical="center"/>
    </xf>
    <xf numFmtId="0" fontId="39" fillId="35" borderId="22" xfId="0" applyFont="1" applyFill="1" applyBorder="1" applyAlignment="1">
      <alignment/>
    </xf>
    <xf numFmtId="14" fontId="59" fillId="35" borderId="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0" fillId="35" borderId="20" xfId="0" applyNumberFormat="1" applyFont="1" applyFill="1" applyBorder="1" applyAlignment="1">
      <alignment horizontal="center"/>
    </xf>
    <xf numFmtId="14" fontId="59" fillId="35" borderId="39" xfId="0" applyNumberFormat="1" applyFont="1" applyFill="1" applyBorder="1" applyAlignment="1">
      <alignment/>
    </xf>
    <xf numFmtId="14" fontId="59" fillId="35" borderId="40" xfId="0" applyNumberFormat="1" applyFont="1" applyFill="1" applyBorder="1" applyAlignment="1">
      <alignment horizontal="center" vertical="center"/>
    </xf>
    <xf numFmtId="0" fontId="59" fillId="35" borderId="40" xfId="0" applyFont="1" applyFill="1" applyBorder="1" applyAlignment="1">
      <alignment/>
    </xf>
    <xf numFmtId="14" fontId="59" fillId="35" borderId="19" xfId="0" applyNumberFormat="1" applyFont="1" applyFill="1" applyBorder="1" applyAlignment="1">
      <alignment/>
    </xf>
    <xf numFmtId="0" fontId="28" fillId="35" borderId="19" xfId="0" applyFont="1" applyFill="1" applyBorder="1" applyAlignment="1">
      <alignment/>
    </xf>
    <xf numFmtId="0" fontId="21" fillId="36" borderId="19" xfId="0" applyFont="1" applyFill="1" applyBorder="1" applyAlignment="1">
      <alignment horizontal="center"/>
    </xf>
    <xf numFmtId="0" fontId="39" fillId="35" borderId="19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49" fontId="39" fillId="35" borderId="19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/>
    </xf>
    <xf numFmtId="0" fontId="39" fillId="36" borderId="19" xfId="0" applyFont="1" applyFill="1" applyBorder="1" applyAlignment="1">
      <alignment horizontal="center"/>
    </xf>
    <xf numFmtId="166" fontId="39" fillId="35" borderId="19" xfId="0" applyNumberFormat="1" applyFont="1" applyFill="1" applyBorder="1" applyAlignment="1">
      <alignment horizontal="center"/>
    </xf>
    <xf numFmtId="0" fontId="39" fillId="35" borderId="19" xfId="0" applyFont="1" applyFill="1" applyBorder="1" applyAlignment="1">
      <alignment horizontal="left" vertical="center"/>
    </xf>
    <xf numFmtId="0" fontId="39" fillId="35" borderId="19" xfId="0" applyFont="1" applyFill="1" applyBorder="1" applyAlignment="1">
      <alignment horizontal="center"/>
    </xf>
    <xf numFmtId="0" fontId="39" fillId="35" borderId="19" xfId="0" applyFont="1" applyFill="1" applyBorder="1" applyAlignment="1">
      <alignment/>
    </xf>
    <xf numFmtId="0" fontId="14" fillId="35" borderId="19" xfId="0" applyFont="1" applyFill="1" applyBorder="1" applyAlignment="1">
      <alignment/>
    </xf>
    <xf numFmtId="0" fontId="14" fillId="35" borderId="19" xfId="0" applyFont="1" applyFill="1" applyBorder="1" applyAlignment="1">
      <alignment horizontal="center"/>
    </xf>
    <xf numFmtId="0" fontId="7" fillId="35" borderId="44" xfId="0" applyFont="1" applyFill="1" applyBorder="1" applyAlignment="1">
      <alignment/>
    </xf>
    <xf numFmtId="0" fontId="20" fillId="35" borderId="19" xfId="0" applyNumberFormat="1" applyFont="1" applyFill="1" applyBorder="1" applyAlignment="1">
      <alignment horizontal="center"/>
    </xf>
    <xf numFmtId="0" fontId="7" fillId="35" borderId="39" xfId="0" applyNumberFormat="1" applyFont="1" applyFill="1" applyBorder="1" applyAlignment="1">
      <alignment/>
    </xf>
    <xf numFmtId="0" fontId="7" fillId="35" borderId="40" xfId="0" applyNumberFormat="1" applyFont="1" applyFill="1" applyBorder="1" applyAlignment="1">
      <alignment/>
    </xf>
    <xf numFmtId="0" fontId="7" fillId="35" borderId="40" xfId="44" applyNumberFormat="1" applyFont="1" applyFill="1" applyBorder="1" applyAlignment="1">
      <alignment/>
    </xf>
    <xf numFmtId="0" fontId="7" fillId="35" borderId="41" xfId="0" applyNumberFormat="1" applyFont="1" applyFill="1" applyBorder="1" applyAlignment="1">
      <alignment/>
    </xf>
    <xf numFmtId="0" fontId="7" fillId="35" borderId="19" xfId="0" applyNumberFormat="1" applyFont="1" applyFill="1" applyBorder="1" applyAlignment="1">
      <alignment/>
    </xf>
    <xf numFmtId="0" fontId="7" fillId="35" borderId="20" xfId="0" applyNumberFormat="1" applyFont="1" applyFill="1" applyBorder="1" applyAlignment="1">
      <alignment/>
    </xf>
    <xf numFmtId="0" fontId="21" fillId="36" borderId="19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1" fillId="36" borderId="20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/>
    </xf>
    <xf numFmtId="41" fontId="12" fillId="35" borderId="20" xfId="0" applyNumberFormat="1" applyFont="1" applyFill="1" applyBorder="1" applyAlignment="1">
      <alignment horizontal="center"/>
    </xf>
    <xf numFmtId="0" fontId="12" fillId="35" borderId="20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>
      <alignment vertical="center"/>
    </xf>
    <xf numFmtId="0" fontId="22" fillId="36" borderId="19" xfId="0" applyNumberFormat="1" applyFont="1" applyFill="1" applyBorder="1" applyAlignment="1">
      <alignment/>
    </xf>
    <xf numFmtId="0" fontId="12" fillId="35" borderId="19" xfId="0" applyNumberFormat="1" applyFont="1" applyFill="1" applyBorder="1" applyAlignment="1">
      <alignment horizontal="left"/>
    </xf>
    <xf numFmtId="0" fontId="12" fillId="36" borderId="19" xfId="0" applyNumberFormat="1" applyFont="1" applyFill="1" applyBorder="1" applyAlignment="1">
      <alignment horizontal="center"/>
    </xf>
    <xf numFmtId="0" fontId="22" fillId="35" borderId="20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 horizontal="left" vertical="center"/>
    </xf>
    <xf numFmtId="0" fontId="12" fillId="35" borderId="20" xfId="0" applyNumberFormat="1" applyFont="1" applyFill="1" applyBorder="1" applyAlignment="1">
      <alignment/>
    </xf>
    <xf numFmtId="0" fontId="12" fillId="35" borderId="20" xfId="0" applyNumberFormat="1" applyFont="1" applyFill="1" applyBorder="1" applyAlignment="1">
      <alignment horizontal="center" vertical="center"/>
    </xf>
    <xf numFmtId="0" fontId="19" fillId="35" borderId="20" xfId="0" applyNumberFormat="1" applyFont="1" applyFill="1" applyBorder="1" applyAlignment="1">
      <alignment vertical="center"/>
    </xf>
    <xf numFmtId="0" fontId="12" fillId="35" borderId="19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/>
    </xf>
    <xf numFmtId="0" fontId="37" fillId="38" borderId="19" xfId="0" applyNumberFormat="1" applyFont="1" applyFill="1" applyBorder="1" applyAlignment="1">
      <alignment/>
    </xf>
    <xf numFmtId="0" fontId="11" fillId="38" borderId="19" xfId="0" applyNumberFormat="1" applyFont="1" applyFill="1" applyBorder="1" applyAlignment="1">
      <alignment horizontal="center"/>
    </xf>
    <xf numFmtId="0" fontId="19" fillId="35" borderId="20" xfId="0" applyNumberFormat="1" applyFont="1" applyFill="1" applyBorder="1" applyAlignment="1">
      <alignment/>
    </xf>
    <xf numFmtId="0" fontId="55" fillId="35" borderId="19" xfId="0" applyNumberFormat="1" applyFont="1" applyFill="1" applyBorder="1" applyAlignment="1">
      <alignment horizontal="left"/>
    </xf>
    <xf numFmtId="0" fontId="18" fillId="35" borderId="19" xfId="0" applyNumberFormat="1" applyFont="1" applyFill="1" applyBorder="1" applyAlignment="1">
      <alignment horizontal="left" vertical="center"/>
    </xf>
    <xf numFmtId="0" fontId="18" fillId="35" borderId="44" xfId="0" applyNumberFormat="1" applyFont="1" applyFill="1" applyBorder="1" applyAlignment="1">
      <alignment horizontal="left" vertical="center"/>
    </xf>
    <xf numFmtId="0" fontId="19" fillId="35" borderId="42" xfId="0" applyNumberFormat="1" applyFont="1" applyFill="1" applyBorder="1" applyAlignment="1">
      <alignment horizontal="left" vertical="center"/>
    </xf>
    <xf numFmtId="0" fontId="20" fillId="35" borderId="42" xfId="44" applyNumberFormat="1" applyFont="1" applyFill="1" applyBorder="1" applyAlignment="1">
      <alignment horizontal="center"/>
    </xf>
    <xf numFmtId="0" fontId="19" fillId="35" borderId="43" xfId="0" applyNumberFormat="1" applyFont="1" applyFill="1" applyBorder="1" applyAlignment="1">
      <alignment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1" fontId="63" fillId="0" borderId="15" xfId="0" applyNumberFormat="1" applyFont="1" applyFill="1" applyBorder="1" applyAlignment="1" applyProtection="1">
      <alignment horizontal="center" vertical="center" wrapText="1"/>
      <protection/>
    </xf>
    <xf numFmtId="44" fontId="63" fillId="0" borderId="15" xfId="44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64" fillId="0" borderId="15" xfId="0" applyFont="1" applyBorder="1" applyAlignment="1">
      <alignment horizontal="center" vertical="center"/>
    </xf>
    <xf numFmtId="49" fontId="65" fillId="0" borderId="15" xfId="65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/>
    </xf>
    <xf numFmtId="41" fontId="63" fillId="0" borderId="15" xfId="0" applyNumberFormat="1" applyFont="1" applyFill="1" applyBorder="1" applyAlignment="1" applyProtection="1">
      <alignment horizontal="center"/>
      <protection/>
    </xf>
    <xf numFmtId="167" fontId="64" fillId="0" borderId="15" xfId="0" applyNumberFormat="1" applyFont="1" applyFill="1" applyBorder="1" applyAlignment="1" applyProtection="1">
      <alignment horizontal="center"/>
      <protection/>
    </xf>
    <xf numFmtId="169" fontId="64" fillId="0" borderId="15" xfId="44" applyNumberFormat="1" applyFont="1" applyBorder="1" applyAlignment="1">
      <alignment horizontal="center" vertical="center"/>
    </xf>
    <xf numFmtId="44" fontId="63" fillId="0" borderId="15" xfId="44" applyNumberFormat="1" applyFont="1" applyFill="1" applyBorder="1" applyAlignment="1" applyProtection="1">
      <alignment horizontal="center"/>
      <protection/>
    </xf>
    <xf numFmtId="0" fontId="64" fillId="0" borderId="15" xfId="0" applyFont="1" applyBorder="1" applyAlignment="1">
      <alignment/>
    </xf>
    <xf numFmtId="0" fontId="65" fillId="0" borderId="15" xfId="0" applyFont="1" applyBorder="1" applyAlignment="1">
      <alignment horizontal="center" vertical="center"/>
    </xf>
    <xf numFmtId="167" fontId="64" fillId="0" borderId="15" xfId="0" applyNumberFormat="1" applyFont="1" applyFill="1" applyBorder="1" applyAlignment="1">
      <alignment horizontal="center" vertical="center"/>
    </xf>
    <xf numFmtId="167" fontId="64" fillId="0" borderId="15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167" fontId="63" fillId="0" borderId="15" xfId="62" applyNumberFormat="1" applyFont="1" applyFill="1" applyBorder="1" applyAlignment="1">
      <alignment horizontal="center"/>
      <protection/>
    </xf>
    <xf numFmtId="0" fontId="64" fillId="0" borderId="15" xfId="65" applyFont="1" applyFill="1" applyBorder="1" applyAlignment="1">
      <alignment horizontal="center" vertical="center"/>
    </xf>
    <xf numFmtId="167" fontId="64" fillId="0" borderId="0" xfId="0" applyNumberFormat="1" applyFont="1" applyAlignment="1">
      <alignment/>
    </xf>
    <xf numFmtId="1" fontId="53" fillId="44" borderId="27" xfId="0" applyNumberFormat="1" applyFont="1" applyFill="1" applyBorder="1" applyAlignment="1" applyProtection="1">
      <alignment horizontal="center" vertical="center" wrapText="1"/>
      <protection/>
    </xf>
    <xf numFmtId="167" fontId="4" fillId="44" borderId="15" xfId="44" applyNumberFormat="1" applyFont="1" applyFill="1" applyBorder="1" applyAlignment="1" applyProtection="1">
      <alignment horizontal="center"/>
      <protection/>
    </xf>
    <xf numFmtId="167" fontId="4" fillId="44" borderId="27" xfId="44" applyNumberFormat="1" applyFont="1" applyFill="1" applyBorder="1" applyAlignment="1" applyProtection="1">
      <alignment horizontal="center"/>
      <protection/>
    </xf>
    <xf numFmtId="167" fontId="4" fillId="44" borderId="28" xfId="44" applyNumberFormat="1" applyFont="1" applyFill="1" applyBorder="1" applyAlignment="1" applyProtection="1">
      <alignment horizontal="center"/>
      <protection/>
    </xf>
    <xf numFmtId="0" fontId="0" fillId="44" borderId="0" xfId="0" applyFill="1" applyAlignment="1">
      <alignment/>
    </xf>
    <xf numFmtId="1" fontId="31" fillId="44" borderId="27" xfId="0" applyNumberFormat="1" applyFont="1" applyFill="1" applyBorder="1" applyAlignment="1" applyProtection="1">
      <alignment horizontal="center" vertical="center" wrapText="1"/>
      <protection/>
    </xf>
    <xf numFmtId="0" fontId="49" fillId="44" borderId="15" xfId="0" applyFont="1" applyFill="1" applyBorder="1" applyAlignment="1">
      <alignment/>
    </xf>
    <xf numFmtId="1" fontId="53" fillId="44" borderId="13" xfId="0" applyNumberFormat="1" applyFont="1" applyFill="1" applyBorder="1" applyAlignment="1" applyProtection="1">
      <alignment horizontal="center" vertical="center" wrapText="1"/>
      <protection/>
    </xf>
    <xf numFmtId="167" fontId="4" fillId="44" borderId="22" xfId="44" applyNumberFormat="1" applyFont="1" applyFill="1" applyBorder="1" applyAlignment="1" applyProtection="1">
      <alignment horizontal="center"/>
      <protection/>
    </xf>
    <xf numFmtId="0" fontId="0" fillId="44" borderId="24" xfId="0" applyFont="1" applyFill="1" applyBorder="1" applyAlignment="1">
      <alignment horizontal="center"/>
    </xf>
    <xf numFmtId="0" fontId="0" fillId="44" borderId="15" xfId="0" applyFont="1" applyFill="1" applyBorder="1" applyAlignment="1">
      <alignment/>
    </xf>
    <xf numFmtId="1" fontId="53" fillId="44" borderId="27" xfId="0" applyNumberFormat="1" applyFont="1" applyFill="1" applyBorder="1" applyAlignment="1" applyProtection="1">
      <alignment horizontal="center" wrapText="1"/>
      <protection/>
    </xf>
    <xf numFmtId="167" fontId="0" fillId="44" borderId="15" xfId="0" applyNumberFormat="1" applyFont="1" applyFill="1" applyBorder="1" applyAlignment="1">
      <alignment horizontal="center"/>
    </xf>
    <xf numFmtId="167" fontId="0" fillId="44" borderId="27" xfId="0" applyNumberFormat="1" applyFont="1" applyFill="1" applyBorder="1" applyAlignment="1">
      <alignment horizontal="center"/>
    </xf>
    <xf numFmtId="0" fontId="0" fillId="44" borderId="15" xfId="0" applyFont="1" applyFill="1" applyBorder="1" applyAlignment="1">
      <alignment/>
    </xf>
    <xf numFmtId="0" fontId="0" fillId="44" borderId="0" xfId="0" applyFont="1" applyFill="1" applyAlignment="1">
      <alignment/>
    </xf>
    <xf numFmtId="1" fontId="31" fillId="44" borderId="13" xfId="0" applyNumberFormat="1" applyFont="1" applyFill="1" applyBorder="1" applyAlignment="1" applyProtection="1">
      <alignment horizontal="center" vertical="center" wrapText="1"/>
      <protection/>
    </xf>
    <xf numFmtId="0" fontId="4" fillId="44" borderId="15" xfId="0" applyFont="1" applyFill="1" applyBorder="1" applyAlignment="1">
      <alignment horizontal="center"/>
    </xf>
    <xf numFmtId="1" fontId="53" fillId="44" borderId="15" xfId="0" applyNumberFormat="1" applyFont="1" applyFill="1" applyBorder="1" applyAlignment="1" applyProtection="1">
      <alignment horizontal="center" vertical="center" wrapText="1"/>
      <protection/>
    </xf>
    <xf numFmtId="0" fontId="0" fillId="44" borderId="15" xfId="0" applyFont="1" applyFill="1" applyBorder="1" applyAlignment="1">
      <alignment/>
    </xf>
    <xf numFmtId="44" fontId="31" fillId="44" borderId="0" xfId="44" applyFont="1" applyFill="1" applyBorder="1" applyAlignment="1" applyProtection="1">
      <alignment horizontal="center"/>
      <protection/>
    </xf>
    <xf numFmtId="0" fontId="0" fillId="44" borderId="0" xfId="0" applyFill="1" applyBorder="1" applyAlignment="1">
      <alignment/>
    </xf>
    <xf numFmtId="0" fontId="48" fillId="44" borderId="22" xfId="0" applyFont="1" applyFill="1" applyBorder="1" applyAlignment="1">
      <alignment horizontal="center" vertical="center"/>
    </xf>
    <xf numFmtId="169" fontId="0" fillId="44" borderId="0" xfId="44" applyNumberFormat="1" applyFont="1" applyFill="1" applyAlignment="1">
      <alignment horizontal="center" vertical="center"/>
    </xf>
    <xf numFmtId="0" fontId="0" fillId="44" borderId="0" xfId="0" applyFont="1" applyFill="1" applyAlignment="1">
      <alignment/>
    </xf>
    <xf numFmtId="8" fontId="0" fillId="44" borderId="15" xfId="0" applyNumberFormat="1" applyFont="1" applyFill="1" applyBorder="1" applyAlignment="1">
      <alignment horizontal="center"/>
    </xf>
    <xf numFmtId="7" fontId="53" fillId="44" borderId="15" xfId="44" applyNumberFormat="1" applyFont="1" applyFill="1" applyBorder="1" applyAlignment="1" applyProtection="1">
      <alignment horizontal="center"/>
      <protection/>
    </xf>
    <xf numFmtId="0" fontId="0" fillId="44" borderId="27" xfId="0" applyFont="1" applyFill="1" applyBorder="1" applyAlignment="1">
      <alignment/>
    </xf>
    <xf numFmtId="0" fontId="0" fillId="44" borderId="24" xfId="0" applyFont="1" applyFill="1" applyBorder="1" applyAlignment="1">
      <alignment/>
    </xf>
    <xf numFmtId="167" fontId="53" fillId="44" borderId="15" xfId="44" applyNumberFormat="1" applyFont="1" applyFill="1" applyBorder="1" applyAlignment="1" applyProtection="1">
      <alignment horizontal="center"/>
      <protection/>
    </xf>
    <xf numFmtId="167" fontId="32" fillId="44" borderId="15" xfId="44" applyNumberFormat="1" applyFont="1" applyFill="1" applyBorder="1" applyAlignment="1" applyProtection="1">
      <alignment horizontal="center"/>
      <protection/>
    </xf>
    <xf numFmtId="1" fontId="63" fillId="44" borderId="15" xfId="0" applyNumberFormat="1" applyFont="1" applyFill="1" applyBorder="1" applyAlignment="1" applyProtection="1">
      <alignment horizontal="center" vertical="center" wrapText="1"/>
      <protection/>
    </xf>
    <xf numFmtId="167" fontId="64" fillId="44" borderId="15" xfId="44" applyNumberFormat="1" applyFont="1" applyFill="1" applyBorder="1" applyAlignment="1" applyProtection="1">
      <alignment horizontal="center"/>
      <protection/>
    </xf>
    <xf numFmtId="0" fontId="64" fillId="44" borderId="0" xfId="0" applyFont="1" applyFill="1" applyAlignment="1">
      <alignment/>
    </xf>
    <xf numFmtId="2" fontId="39" fillId="35" borderId="38" xfId="6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2" fontId="39" fillId="35" borderId="35" xfId="63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2" fontId="14" fillId="35" borderId="0" xfId="63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vertical="center"/>
    </xf>
    <xf numFmtId="2" fontId="58" fillId="35" borderId="0" xfId="63" applyFont="1" applyFill="1" applyBorder="1" applyAlignment="1">
      <alignment horizontal="center" vertical="center"/>
      <protection/>
    </xf>
    <xf numFmtId="2" fontId="39" fillId="38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4" fontId="36" fillId="45" borderId="0" xfId="63" applyNumberFormat="1" applyFont="1" applyFill="1" applyBorder="1" applyAlignment="1">
      <alignment vertical="center"/>
      <protection/>
    </xf>
    <xf numFmtId="2" fontId="39" fillId="35" borderId="30" xfId="6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165" fontId="39" fillId="33" borderId="45" xfId="0" applyNumberFormat="1" applyFont="1" applyFill="1" applyBorder="1" applyAlignment="1">
      <alignment horizontal="center"/>
    </xf>
    <xf numFmtId="0" fontId="39" fillId="33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21" fillId="35" borderId="0" xfId="63" applyFont="1" applyFill="1" applyBorder="1" applyAlignment="1">
      <alignment horizontal="center" vertical="center"/>
      <protection/>
    </xf>
    <xf numFmtId="0" fontId="21" fillId="35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5" fontId="14" fillId="33" borderId="15" xfId="0" applyNumberFormat="1" applyFont="1" applyFill="1" applyBorder="1" applyAlignment="1">
      <alignment horizontal="center"/>
    </xf>
    <xf numFmtId="0" fontId="58" fillId="0" borderId="15" xfId="0" applyFont="1" applyBorder="1" applyAlignment="1">
      <alignment/>
    </xf>
    <xf numFmtId="2" fontId="42" fillId="35" borderId="22" xfId="63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9" fontId="39" fillId="33" borderId="45" xfId="69" applyFont="1" applyFill="1" applyBorder="1" applyAlignment="1">
      <alignment horizontal="center"/>
    </xf>
    <xf numFmtId="9" fontId="39" fillId="33" borderId="47" xfId="69" applyFont="1" applyFill="1" applyBorder="1" applyAlignment="1">
      <alignment horizontal="center"/>
    </xf>
    <xf numFmtId="1" fontId="39" fillId="33" borderId="45" xfId="0" applyNumberFormat="1" applyFont="1" applyFill="1" applyBorder="1" applyAlignment="1">
      <alignment horizontal="center"/>
    </xf>
    <xf numFmtId="1" fontId="39" fillId="33" borderId="47" xfId="0" applyNumberFormat="1" applyFont="1" applyFill="1" applyBorder="1" applyAlignment="1">
      <alignment horizontal="center"/>
    </xf>
    <xf numFmtId="9" fontId="39" fillId="35" borderId="22" xfId="69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/>
    </xf>
    <xf numFmtId="2" fontId="43" fillId="35" borderId="15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2" fontId="43" fillId="35" borderId="17" xfId="6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39" fillId="33" borderId="47" xfId="0" applyFont="1" applyFill="1" applyBorder="1" applyAlignment="1">
      <alignment horizontal="center"/>
    </xf>
    <xf numFmtId="14" fontId="14" fillId="35" borderId="0" xfId="63" applyNumberFormat="1" applyFont="1" applyFill="1" applyBorder="1" applyAlignment="1">
      <alignment horizontal="left" vertical="center"/>
      <protection/>
    </xf>
    <xf numFmtId="14" fontId="39" fillId="35" borderId="22" xfId="63" applyNumberFormat="1" applyFont="1" applyFill="1" applyBorder="1" applyAlignment="1">
      <alignment horizontal="center" vertical="center"/>
      <protection/>
    </xf>
    <xf numFmtId="14" fontId="39" fillId="35" borderId="34" xfId="63" applyNumberFormat="1" applyFont="1" applyFill="1" applyBorder="1" applyAlignment="1">
      <alignment horizontal="center" vertical="center"/>
      <protection/>
    </xf>
    <xf numFmtId="9" fontId="39" fillId="38" borderId="25" xfId="69" applyFont="1" applyFill="1" applyBorder="1" applyAlignment="1">
      <alignment vertical="center"/>
    </xf>
    <xf numFmtId="0" fontId="0" fillId="0" borderId="33" xfId="0" applyBorder="1" applyAlignment="1">
      <alignment/>
    </xf>
    <xf numFmtId="0" fontId="60" fillId="45" borderId="0" xfId="0" applyNumberFormat="1" applyFont="1" applyFill="1" applyBorder="1" applyAlignment="1">
      <alignment horizontal="left" vertical="top"/>
    </xf>
    <xf numFmtId="0" fontId="0" fillId="45" borderId="0" xfId="0" applyFill="1" applyBorder="1" applyAlignment="1">
      <alignment horizontal="left" vertical="top"/>
    </xf>
    <xf numFmtId="9" fontId="39" fillId="35" borderId="37" xfId="69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165" fontId="39" fillId="33" borderId="47" xfId="0" applyNumberFormat="1" applyFont="1" applyFill="1" applyBorder="1" applyAlignment="1">
      <alignment horizontal="center"/>
    </xf>
    <xf numFmtId="168" fontId="21" fillId="33" borderId="45" xfId="0" applyNumberFormat="1" applyFont="1" applyFill="1" applyBorder="1" applyAlignment="1">
      <alignment horizontal="center"/>
    </xf>
    <xf numFmtId="168" fontId="21" fillId="33" borderId="46" xfId="0" applyNumberFormat="1" applyFont="1" applyFill="1" applyBorder="1" applyAlignment="1">
      <alignment horizontal="center"/>
    </xf>
    <xf numFmtId="168" fontId="21" fillId="33" borderId="47" xfId="0" applyNumberFormat="1" applyFont="1" applyFill="1" applyBorder="1" applyAlignment="1">
      <alignment horizontal="center"/>
    </xf>
    <xf numFmtId="41" fontId="21" fillId="33" borderId="45" xfId="0" applyNumberFormat="1" applyFont="1" applyFill="1" applyBorder="1" applyAlignment="1">
      <alignment horizontal="center"/>
    </xf>
    <xf numFmtId="41" fontId="21" fillId="33" borderId="46" xfId="0" applyNumberFormat="1" applyFont="1" applyFill="1" applyBorder="1" applyAlignment="1">
      <alignment horizontal="center"/>
    </xf>
    <xf numFmtId="41" fontId="21" fillId="33" borderId="47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49" fontId="39" fillId="33" borderId="15" xfId="0" applyNumberFormat="1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21" fillId="36" borderId="42" xfId="0" applyFont="1" applyFill="1" applyBorder="1" applyAlignment="1">
      <alignment horizontal="center"/>
    </xf>
    <xf numFmtId="14" fontId="39" fillId="35" borderId="0" xfId="63" applyNumberFormat="1" applyFont="1" applyFill="1" applyBorder="1" applyAlignment="1">
      <alignment horizontal="center" vertical="center"/>
      <protection/>
    </xf>
    <xf numFmtId="14" fontId="39" fillId="35" borderId="37" xfId="63" applyNumberFormat="1" applyFont="1" applyFill="1" applyBorder="1" applyAlignment="1">
      <alignment horizontal="center" vertical="center"/>
      <protection/>
    </xf>
    <xf numFmtId="37" fontId="13" fillId="33" borderId="17" xfId="0" applyNumberFormat="1" applyFont="1" applyFill="1" applyBorder="1" applyAlignment="1">
      <alignment horizontal="center" vertical="center"/>
    </xf>
    <xf numFmtId="37" fontId="13" fillId="33" borderId="24" xfId="0" applyNumberFormat="1" applyFont="1" applyFill="1" applyBorder="1" applyAlignment="1">
      <alignment horizontal="center" vertical="center"/>
    </xf>
    <xf numFmtId="37" fontId="13" fillId="33" borderId="18" xfId="0" applyNumberFormat="1" applyFont="1" applyFill="1" applyBorder="1" applyAlignment="1">
      <alignment horizontal="center" vertical="center"/>
    </xf>
    <xf numFmtId="167" fontId="13" fillId="33" borderId="17" xfId="63" applyNumberFormat="1" applyFont="1" applyFill="1" applyBorder="1" applyAlignment="1">
      <alignment horizontal="center" vertical="center"/>
      <protection/>
    </xf>
    <xf numFmtId="167" fontId="13" fillId="33" borderId="24" xfId="63" applyNumberFormat="1" applyFont="1" applyFill="1" applyBorder="1" applyAlignment="1">
      <alignment horizontal="center" vertical="center"/>
      <protection/>
    </xf>
    <xf numFmtId="167" fontId="13" fillId="33" borderId="18" xfId="63" applyNumberFormat="1" applyFont="1" applyFill="1" applyBorder="1" applyAlignment="1">
      <alignment horizontal="center" vertical="center"/>
      <protection/>
    </xf>
    <xf numFmtId="7" fontId="13" fillId="33" borderId="17" xfId="0" applyNumberFormat="1" applyFont="1" applyFill="1" applyBorder="1" applyAlignment="1">
      <alignment horizontal="center" vertical="center"/>
    </xf>
    <xf numFmtId="7" fontId="13" fillId="33" borderId="24" xfId="0" applyNumberFormat="1" applyFont="1" applyFill="1" applyBorder="1" applyAlignment="1">
      <alignment horizontal="center" vertical="center"/>
    </xf>
    <xf numFmtId="7" fontId="13" fillId="33" borderId="18" xfId="0" applyNumberFormat="1" applyFont="1" applyFill="1" applyBorder="1" applyAlignment="1">
      <alignment horizontal="center" vertical="center"/>
    </xf>
    <xf numFmtId="0" fontId="38" fillId="38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35" borderId="19" xfId="0" applyNumberFormat="1" applyFont="1" applyFill="1" applyBorder="1" applyAlignment="1">
      <alignment horizontal="center"/>
    </xf>
    <xf numFmtId="0" fontId="21" fillId="35" borderId="0" xfId="0" applyNumberFormat="1" applyFont="1" applyFill="1" applyBorder="1" applyAlignment="1">
      <alignment horizontal="center"/>
    </xf>
    <xf numFmtId="0" fontId="21" fillId="35" borderId="20" xfId="0" applyNumberFormat="1" applyFont="1" applyFill="1" applyBorder="1" applyAlignment="1">
      <alignment horizontal="center"/>
    </xf>
    <xf numFmtId="41" fontId="13" fillId="0" borderId="45" xfId="0" applyNumberFormat="1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center"/>
    </xf>
    <xf numFmtId="0" fontId="13" fillId="0" borderId="47" xfId="0" applyNumberFormat="1" applyFont="1" applyFill="1" applyBorder="1" applyAlignment="1">
      <alignment horizontal="center"/>
    </xf>
    <xf numFmtId="168" fontId="13" fillId="0" borderId="45" xfId="0" applyNumberFormat="1" applyFont="1" applyFill="1" applyBorder="1" applyAlignment="1">
      <alignment horizontal="center"/>
    </xf>
    <xf numFmtId="168" fontId="13" fillId="0" borderId="46" xfId="0" applyNumberFormat="1" applyFont="1" applyFill="1" applyBorder="1" applyAlignment="1">
      <alignment horizontal="center"/>
    </xf>
    <xf numFmtId="168" fontId="13" fillId="0" borderId="47" xfId="0" applyNumberFormat="1" applyFont="1" applyFill="1" applyBorder="1" applyAlignment="1">
      <alignment horizontal="center"/>
    </xf>
    <xf numFmtId="0" fontId="21" fillId="36" borderId="42" xfId="0" applyNumberFormat="1" applyFont="1" applyFill="1" applyBorder="1" applyAlignment="1">
      <alignment horizontal="center"/>
    </xf>
    <xf numFmtId="0" fontId="37" fillId="46" borderId="19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167" fontId="14" fillId="37" borderId="17" xfId="0" applyNumberFormat="1" applyFont="1" applyFill="1" applyBorder="1" applyAlignment="1">
      <alignment horizontal="center"/>
    </xf>
    <xf numFmtId="167" fontId="14" fillId="37" borderId="24" xfId="0" applyNumberFormat="1" applyFont="1" applyFill="1" applyBorder="1" applyAlignment="1">
      <alignment horizontal="center"/>
    </xf>
    <xf numFmtId="167" fontId="14" fillId="37" borderId="18" xfId="0" applyNumberFormat="1" applyFont="1" applyFill="1" applyBorder="1" applyAlignment="1">
      <alignment horizontal="center"/>
    </xf>
    <xf numFmtId="167" fontId="14" fillId="33" borderId="17" xfId="0" applyNumberFormat="1" applyFont="1" applyFill="1" applyBorder="1" applyAlignment="1">
      <alignment horizontal="center"/>
    </xf>
    <xf numFmtId="167" fontId="14" fillId="33" borderId="24" xfId="0" applyNumberFormat="1" applyFont="1" applyFill="1" applyBorder="1" applyAlignment="1">
      <alignment horizontal="center"/>
    </xf>
    <xf numFmtId="167" fontId="14" fillId="33" borderId="18" xfId="0" applyNumberFormat="1" applyFont="1" applyFill="1" applyBorder="1" applyAlignment="1">
      <alignment horizontal="center"/>
    </xf>
    <xf numFmtId="1" fontId="14" fillId="37" borderId="17" xfId="0" applyNumberFormat="1" applyFont="1" applyFill="1" applyBorder="1" applyAlignment="1">
      <alignment horizontal="center"/>
    </xf>
    <xf numFmtId="1" fontId="14" fillId="37" borderId="24" xfId="0" applyNumberFormat="1" applyFont="1" applyFill="1" applyBorder="1" applyAlignment="1">
      <alignment horizontal="center"/>
    </xf>
    <xf numFmtId="1" fontId="14" fillId="37" borderId="18" xfId="0" applyNumberFormat="1" applyFont="1" applyFill="1" applyBorder="1" applyAlignment="1">
      <alignment horizontal="center"/>
    </xf>
    <xf numFmtId="0" fontId="56" fillId="38" borderId="19" xfId="0" applyNumberFormat="1" applyFont="1" applyFill="1" applyBorder="1" applyAlignment="1">
      <alignment horizontal="right" vertical="center"/>
    </xf>
    <xf numFmtId="0" fontId="57" fillId="38" borderId="0" xfId="0" applyFont="1" applyFill="1" applyBorder="1" applyAlignment="1">
      <alignment/>
    </xf>
    <xf numFmtId="0" fontId="44" fillId="38" borderId="15" xfId="0" applyNumberFormat="1" applyFont="1" applyFill="1" applyBorder="1" applyAlignment="1">
      <alignment horizontal="center" vertical="center"/>
    </xf>
    <xf numFmtId="0" fontId="50" fillId="39" borderId="15" xfId="0" applyFont="1" applyFill="1" applyBorder="1" applyAlignment="1">
      <alignment horizontal="left" vertical="center"/>
    </xf>
    <xf numFmtId="0" fontId="0" fillId="39" borderId="25" xfId="0" applyFill="1" applyBorder="1" applyAlignment="1">
      <alignment/>
    </xf>
    <xf numFmtId="0" fontId="48" fillId="39" borderId="1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left" vertical="center"/>
    </xf>
    <xf numFmtId="0" fontId="48" fillId="39" borderId="30" xfId="0" applyFont="1" applyFill="1" applyBorder="1" applyAlignment="1">
      <alignment horizontal="center" vertical="center"/>
    </xf>
    <xf numFmtId="0" fontId="48" fillId="39" borderId="25" xfId="0" applyFont="1" applyFill="1" applyBorder="1" applyAlignment="1">
      <alignment horizontal="center" vertical="center"/>
    </xf>
    <xf numFmtId="0" fontId="48" fillId="39" borderId="33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52" fillId="39" borderId="17" xfId="62" applyFont="1" applyFill="1" applyBorder="1" applyAlignment="1">
      <alignment horizontal="center" vertical="center"/>
      <protection/>
    </xf>
    <xf numFmtId="0" fontId="48" fillId="0" borderId="2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5" fillId="39" borderId="33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9" fillId="39" borderId="17" xfId="0" applyFont="1" applyFill="1" applyBorder="1" applyAlignment="1">
      <alignment horizontal="right"/>
    </xf>
    <xf numFmtId="0" fontId="49" fillId="39" borderId="18" xfId="0" applyFont="1" applyFill="1" applyBorder="1" applyAlignment="1">
      <alignment horizontal="right"/>
    </xf>
    <xf numFmtId="0" fontId="0" fillId="39" borderId="35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48" fillId="39" borderId="49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right"/>
    </xf>
    <xf numFmtId="0" fontId="49" fillId="39" borderId="35" xfId="0" applyFont="1" applyFill="1" applyBorder="1" applyAlignment="1">
      <alignment horizontal="right"/>
    </xf>
    <xf numFmtId="0" fontId="0" fillId="39" borderId="22" xfId="0" applyFont="1" applyFill="1" applyBorder="1" applyAlignment="1">
      <alignment horizontal="right"/>
    </xf>
    <xf numFmtId="0" fontId="0" fillId="39" borderId="34" xfId="0" applyFont="1" applyFill="1" applyBorder="1" applyAlignment="1">
      <alignment horizontal="right"/>
    </xf>
    <xf numFmtId="0" fontId="51" fillId="0" borderId="3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9" fillId="39" borderId="17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51" fillId="39" borderId="35" xfId="0" applyFont="1" applyFill="1" applyBorder="1" applyAlignment="1">
      <alignment horizontal="center"/>
    </xf>
    <xf numFmtId="0" fontId="51" fillId="39" borderId="22" xfId="0" applyFont="1" applyFill="1" applyBorder="1" applyAlignment="1">
      <alignment horizontal="center"/>
    </xf>
    <xf numFmtId="0" fontId="51" fillId="39" borderId="34" xfId="0" applyFont="1" applyFill="1" applyBorder="1" applyAlignment="1">
      <alignment horizontal="center"/>
    </xf>
    <xf numFmtId="0" fontId="0" fillId="39" borderId="3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48" fillId="39" borderId="49" xfId="0" applyFont="1" applyFill="1" applyBorder="1" applyAlignment="1">
      <alignment horizontal="center" vertical="center"/>
    </xf>
    <xf numFmtId="0" fontId="49" fillId="39" borderId="24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0" fillId="39" borderId="15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48" fillId="39" borderId="23" xfId="0" applyFont="1" applyFill="1" applyBorder="1" applyAlignment="1" applyProtection="1">
      <alignment horizontal="center" vertical="center"/>
      <protection/>
    </xf>
    <xf numFmtId="0" fontId="48" fillId="39" borderId="24" xfId="0" applyFont="1" applyFill="1" applyBorder="1" applyAlignment="1" applyProtection="1">
      <alignment horizontal="center" vertical="center"/>
      <protection/>
    </xf>
    <xf numFmtId="0" fontId="48" fillId="39" borderId="48" xfId="0" applyFont="1" applyFill="1" applyBorder="1" applyAlignment="1" applyProtection="1">
      <alignment horizontal="center" vertical="center"/>
      <protection/>
    </xf>
    <xf numFmtId="0" fontId="33" fillId="39" borderId="23" xfId="0" applyFont="1" applyFill="1" applyBorder="1" applyAlignment="1" applyProtection="1">
      <alignment horizontal="center" vertical="center"/>
      <protection/>
    </xf>
    <xf numFmtId="0" fontId="33" fillId="39" borderId="24" xfId="0" applyFont="1" applyFill="1" applyBorder="1" applyAlignment="1" applyProtection="1">
      <alignment horizontal="center" vertical="center"/>
      <protection/>
    </xf>
    <xf numFmtId="0" fontId="33" fillId="39" borderId="48" xfId="0" applyFont="1" applyFill="1" applyBorder="1" applyAlignment="1" applyProtection="1">
      <alignment horizontal="center" vertical="center"/>
      <protection/>
    </xf>
    <xf numFmtId="0" fontId="66" fillId="39" borderId="15" xfId="0" applyFont="1" applyFill="1" applyBorder="1" applyAlignment="1" applyProtection="1">
      <alignment horizontal="center"/>
      <protection/>
    </xf>
    <xf numFmtId="0" fontId="63" fillId="39" borderId="15" xfId="0" applyFont="1" applyFill="1" applyBorder="1" applyAlignment="1">
      <alignment horizontal="center" vertical="center"/>
    </xf>
    <xf numFmtId="0" fontId="63" fillId="39" borderId="15" xfId="0" applyFont="1" applyFill="1" applyBorder="1" applyAlignment="1" applyProtection="1">
      <alignment horizontal="center"/>
      <protection/>
    </xf>
    <xf numFmtId="0" fontId="63" fillId="39" borderId="15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 vertical="center"/>
    </xf>
    <xf numFmtId="0" fontId="49" fillId="39" borderId="15" xfId="0" applyFont="1" applyFill="1" applyBorder="1" applyAlignment="1">
      <alignment horizontal="left" vertical="center"/>
    </xf>
    <xf numFmtId="1" fontId="103" fillId="44" borderId="15" xfId="0" applyNumberFormat="1" applyFont="1" applyFill="1" applyBorder="1" applyAlignment="1" applyProtection="1">
      <alignment horizontal="center" vertical="center" wrapText="1"/>
      <protection/>
    </xf>
    <xf numFmtId="167" fontId="104" fillId="44" borderId="15" xfId="44" applyNumberFormat="1" applyFont="1" applyFill="1" applyBorder="1" applyAlignment="1" applyProtection="1">
      <alignment horizontal="center"/>
      <protection/>
    </xf>
    <xf numFmtId="0" fontId="105" fillId="44" borderId="0" xfId="0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rmal 4" xfId="59"/>
    <cellStyle name="Normal 5" xfId="60"/>
    <cellStyle name="Normal 7" xfId="61"/>
    <cellStyle name="Normal 8" xfId="62"/>
    <cellStyle name="Normal_2002" xfId="63"/>
    <cellStyle name="Normal_LF" xfId="64"/>
    <cellStyle name="Normal_Sheet1" xfId="65"/>
    <cellStyle name="Normal_Total" xfId="66"/>
    <cellStyle name="Note" xfId="67"/>
    <cellStyle name="Output" xfId="68"/>
    <cellStyle name="Percent" xfId="69"/>
    <cellStyle name="Standard 2" xfId="70"/>
    <cellStyle name="Title" xfId="71"/>
    <cellStyle name="Total" xfId="72"/>
    <cellStyle name="Warning Text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85725</xdr:rowOff>
    </xdr:from>
    <xdr:to>
      <xdr:col>9</xdr:col>
      <xdr:colOff>1085850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5725"/>
          <a:ext cx="4486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47625</xdr:rowOff>
    </xdr:from>
    <xdr:to>
      <xdr:col>11</xdr:col>
      <xdr:colOff>1095375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7625"/>
          <a:ext cx="450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342900</xdr:colOff>
      <xdr:row>1</xdr:row>
      <xdr:rowOff>447675</xdr:rowOff>
    </xdr:to>
    <xdr:pic>
      <xdr:nvPicPr>
        <xdr:cNvPr id="1" name="Picture 4" descr="LF Mixe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675"/>
          <a:ext cx="177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7">
      <selection activeCell="J32" sqref="J32"/>
    </sheetView>
  </sheetViews>
  <sheetFormatPr defaultColWidth="8.8515625" defaultRowHeight="15" customHeight="1"/>
  <cols>
    <col min="1" max="1" width="0.71875" style="3" customWidth="1"/>
    <col min="2" max="2" width="14.7109375" style="3" customWidth="1"/>
    <col min="3" max="3" width="20.8515625" style="3" customWidth="1"/>
    <col min="4" max="4" width="11.421875" style="3" customWidth="1"/>
    <col min="5" max="5" width="12.28125" style="3" customWidth="1"/>
    <col min="6" max="7" width="15.00390625" style="3" customWidth="1"/>
    <col min="8" max="9" width="11.140625" style="3" customWidth="1"/>
    <col min="10" max="10" width="21.28125" style="3" customWidth="1"/>
    <col min="11" max="11" width="12.00390625" style="3" customWidth="1"/>
    <col min="12" max="15" width="11.140625" style="3" customWidth="1"/>
    <col min="16" max="16" width="9.140625" style="3" customWidth="1"/>
    <col min="17" max="17" width="9.28125" style="3" customWidth="1"/>
    <col min="18" max="18" width="9.421875" style="3" customWidth="1"/>
    <col min="19" max="19" width="9.28125" style="3" customWidth="1"/>
    <col min="20" max="20" width="10.8515625" style="3" customWidth="1"/>
    <col min="21" max="21" width="10.28125" style="3" customWidth="1"/>
    <col min="22" max="22" width="10.140625" style="3" customWidth="1"/>
    <col min="23" max="24" width="9.140625" style="3" hidden="1" customWidth="1"/>
    <col min="25" max="16384" width="8.8515625" style="3" customWidth="1"/>
  </cols>
  <sheetData>
    <row r="1" spans="1:15" ht="15" customHeight="1">
      <c r="A1" s="417"/>
      <c r="B1" s="450">
        <v>39447</v>
      </c>
      <c r="C1" s="451">
        <v>40908</v>
      </c>
      <c r="D1" s="452" t="str">
        <f>"April 12, '12"</f>
        <v>April 12, '12</v>
      </c>
      <c r="E1" s="418"/>
      <c r="F1" s="418"/>
      <c r="G1" s="418"/>
      <c r="H1" s="418"/>
      <c r="I1" s="418"/>
      <c r="J1" s="418"/>
      <c r="K1" s="418"/>
      <c r="L1" s="419"/>
      <c r="M1" s="418"/>
      <c r="N1" s="418"/>
      <c r="O1" s="420"/>
    </row>
    <row r="2" spans="1:15" ht="15" customHeight="1">
      <c r="A2" s="421"/>
      <c r="B2" s="453">
        <v>40967</v>
      </c>
      <c r="C2" s="446">
        <v>40967</v>
      </c>
      <c r="D2" s="447" t="str">
        <f>"May 12, '12"</f>
        <v>May 12, '12</v>
      </c>
      <c r="E2" s="116"/>
      <c r="F2" s="116"/>
      <c r="G2" s="116"/>
      <c r="H2" s="116"/>
      <c r="I2" s="116"/>
      <c r="J2" s="116"/>
      <c r="K2" s="116"/>
      <c r="L2" s="117"/>
      <c r="M2" s="116"/>
      <c r="N2" s="116"/>
      <c r="O2" s="422"/>
    </row>
    <row r="3" spans="1:15" ht="15" customHeight="1">
      <c r="A3" s="421"/>
      <c r="B3" s="453">
        <v>41011</v>
      </c>
      <c r="C3" s="446">
        <v>41011</v>
      </c>
      <c r="D3" s="447" t="str">
        <f>"June12, '12"</f>
        <v>June12, '12</v>
      </c>
      <c r="E3" s="116"/>
      <c r="F3" s="116"/>
      <c r="G3" s="116"/>
      <c r="H3" s="116"/>
      <c r="I3" s="116"/>
      <c r="J3" s="116"/>
      <c r="K3" s="116"/>
      <c r="L3" s="117"/>
      <c r="M3" s="116"/>
      <c r="N3" s="116"/>
      <c r="O3" s="422"/>
    </row>
    <row r="4" spans="1:15" ht="15" customHeight="1">
      <c r="A4" s="421"/>
      <c r="B4" s="453">
        <v>41060</v>
      </c>
      <c r="C4" s="446">
        <v>41060</v>
      </c>
      <c r="D4" s="447" t="str">
        <f>"1/2 June 30-1/2 July 30"</f>
        <v>1/2 June 30-1/2 July 30</v>
      </c>
      <c r="E4" s="116"/>
      <c r="F4" s="116"/>
      <c r="G4" s="116"/>
      <c r="H4" s="116"/>
      <c r="I4" s="116"/>
      <c r="J4" s="116"/>
      <c r="K4" s="116"/>
      <c r="L4" s="117"/>
      <c r="M4" s="116"/>
      <c r="N4" s="116"/>
      <c r="O4" s="422"/>
    </row>
    <row r="5" spans="1:15" ht="15" customHeight="1">
      <c r="A5" s="421"/>
      <c r="B5" s="454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8"/>
      <c r="N5" s="118"/>
      <c r="O5" s="423"/>
    </row>
    <row r="6" spans="1:15" ht="28.5" customHeight="1">
      <c r="A6" s="421"/>
      <c r="B6" s="599" t="s">
        <v>429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1"/>
    </row>
    <row r="7" spans="1:15" ht="25.5" customHeight="1" thickBot="1">
      <c r="A7" s="421"/>
      <c r="B7" s="455"/>
      <c r="C7" s="617" t="s">
        <v>491</v>
      </c>
      <c r="D7" s="617"/>
      <c r="E7" s="617"/>
      <c r="F7" s="617"/>
      <c r="G7" s="617"/>
      <c r="H7" s="185"/>
      <c r="I7" s="185"/>
      <c r="J7" s="617" t="s">
        <v>496</v>
      </c>
      <c r="K7" s="617"/>
      <c r="L7" s="617"/>
      <c r="M7" s="617"/>
      <c r="N7" s="617"/>
      <c r="O7" s="424"/>
    </row>
    <row r="8" spans="1:15" ht="31.5" customHeight="1" thickBot="1">
      <c r="A8" s="421"/>
      <c r="B8" s="456"/>
      <c r="C8" s="606"/>
      <c r="D8" s="607"/>
      <c r="E8" s="607"/>
      <c r="F8" s="607"/>
      <c r="G8" s="608"/>
      <c r="H8" s="140"/>
      <c r="I8" s="139"/>
      <c r="J8" s="603"/>
      <c r="K8" s="604"/>
      <c r="L8" s="604"/>
      <c r="M8" s="604"/>
      <c r="N8" s="605"/>
      <c r="O8" s="425"/>
    </row>
    <row r="9" spans="1:16" s="1" customFormat="1" ht="25.5" customHeight="1">
      <c r="A9" s="421"/>
      <c r="B9" s="614" t="s">
        <v>484</v>
      </c>
      <c r="C9" s="611"/>
      <c r="D9" s="611"/>
      <c r="E9" s="611"/>
      <c r="F9" s="611"/>
      <c r="G9" s="611"/>
      <c r="H9" s="611"/>
      <c r="I9" s="611" t="s">
        <v>480</v>
      </c>
      <c r="J9" s="611"/>
      <c r="K9" s="611"/>
      <c r="L9" s="611"/>
      <c r="M9" s="611"/>
      <c r="N9" s="611"/>
      <c r="O9" s="612"/>
      <c r="P9" s="10"/>
    </row>
    <row r="10" spans="1:16" s="1" customFormat="1" ht="30" customHeight="1">
      <c r="A10" s="421"/>
      <c r="B10" s="457" t="s">
        <v>485</v>
      </c>
      <c r="C10" s="613" t="s">
        <v>486</v>
      </c>
      <c r="D10" s="613"/>
      <c r="E10" s="613"/>
      <c r="F10" s="613"/>
      <c r="G10" s="613"/>
      <c r="H10" s="140"/>
      <c r="I10" s="141" t="s">
        <v>485</v>
      </c>
      <c r="J10" s="613" t="s">
        <v>486</v>
      </c>
      <c r="K10" s="613"/>
      <c r="L10" s="613"/>
      <c r="M10" s="613"/>
      <c r="N10" s="613"/>
      <c r="O10" s="425"/>
      <c r="P10" s="10"/>
    </row>
    <row r="11" spans="1:16" s="1" customFormat="1" ht="31.5" customHeight="1">
      <c r="A11" s="421"/>
      <c r="B11" s="457" t="s">
        <v>487</v>
      </c>
      <c r="C11" s="613" t="s">
        <v>486</v>
      </c>
      <c r="D11" s="613"/>
      <c r="E11" s="613"/>
      <c r="F11" s="613"/>
      <c r="G11" s="613"/>
      <c r="H11" s="140"/>
      <c r="I11" s="141" t="s">
        <v>487</v>
      </c>
      <c r="J11" s="613" t="s">
        <v>486</v>
      </c>
      <c r="K11" s="613"/>
      <c r="L11" s="613"/>
      <c r="M11" s="613"/>
      <c r="N11" s="613"/>
      <c r="O11" s="425"/>
      <c r="P11" s="10"/>
    </row>
    <row r="12" spans="1:16" s="1" customFormat="1" ht="29.25" customHeight="1">
      <c r="A12" s="421"/>
      <c r="B12" s="458"/>
      <c r="C12" s="613" t="s">
        <v>486</v>
      </c>
      <c r="D12" s="613"/>
      <c r="E12" s="613"/>
      <c r="F12" s="613"/>
      <c r="G12" s="613"/>
      <c r="H12" s="143"/>
      <c r="I12" s="142"/>
      <c r="J12" s="613" t="s">
        <v>486</v>
      </c>
      <c r="K12" s="613"/>
      <c r="L12" s="613"/>
      <c r="M12" s="613"/>
      <c r="N12" s="613"/>
      <c r="O12" s="426"/>
      <c r="P12" s="10"/>
    </row>
    <row r="13" spans="1:16" s="1" customFormat="1" ht="30" customHeight="1">
      <c r="A13" s="421"/>
      <c r="B13" s="457" t="s">
        <v>488</v>
      </c>
      <c r="C13" s="144"/>
      <c r="D13" s="141" t="s">
        <v>479</v>
      </c>
      <c r="E13" s="145"/>
      <c r="F13" s="141" t="s">
        <v>489</v>
      </c>
      <c r="G13" s="146"/>
      <c r="H13" s="141"/>
      <c r="I13" s="141" t="s">
        <v>488</v>
      </c>
      <c r="J13" s="147"/>
      <c r="K13" s="141" t="s">
        <v>479</v>
      </c>
      <c r="L13" s="145"/>
      <c r="M13" s="141" t="s">
        <v>489</v>
      </c>
      <c r="N13" s="146"/>
      <c r="O13" s="427"/>
      <c r="P13" s="10"/>
    </row>
    <row r="14" spans="1:16" s="1" customFormat="1" ht="30.75" customHeight="1">
      <c r="A14" s="421"/>
      <c r="B14" s="457" t="s">
        <v>474</v>
      </c>
      <c r="C14" s="615"/>
      <c r="D14" s="616"/>
      <c r="E14" s="141" t="s">
        <v>475</v>
      </c>
      <c r="F14" s="609"/>
      <c r="G14" s="610"/>
      <c r="H14" s="141"/>
      <c r="I14" s="141" t="s">
        <v>474</v>
      </c>
      <c r="J14" s="615"/>
      <c r="K14" s="616"/>
      <c r="L14" s="141" t="s">
        <v>475</v>
      </c>
      <c r="M14" s="609"/>
      <c r="N14" s="610"/>
      <c r="O14" s="427"/>
      <c r="P14" s="10"/>
    </row>
    <row r="15" spans="1:16" s="1" customFormat="1" ht="16.5" customHeight="1" thickBot="1">
      <c r="A15" s="421"/>
      <c r="B15" s="457"/>
      <c r="C15" s="148"/>
      <c r="D15" s="148"/>
      <c r="E15" s="140"/>
      <c r="F15" s="149"/>
      <c r="G15" s="149"/>
      <c r="H15" s="149"/>
      <c r="I15" s="141"/>
      <c r="J15" s="149"/>
      <c r="K15" s="149"/>
      <c r="L15" s="150"/>
      <c r="M15" s="149"/>
      <c r="N15" s="149"/>
      <c r="O15" s="428"/>
      <c r="P15" s="10"/>
    </row>
    <row r="16" spans="1:17" s="1" customFormat="1" ht="30.75" customHeight="1" thickBot="1">
      <c r="A16" s="421"/>
      <c r="B16" s="459"/>
      <c r="C16" s="151" t="s">
        <v>333</v>
      </c>
      <c r="D16" s="568"/>
      <c r="E16" s="589"/>
      <c r="F16" s="152"/>
      <c r="G16" s="151" t="s">
        <v>336</v>
      </c>
      <c r="H16" s="568"/>
      <c r="I16" s="589"/>
      <c r="J16" s="139"/>
      <c r="K16" s="151" t="s">
        <v>338</v>
      </c>
      <c r="L16" s="568"/>
      <c r="M16" s="602"/>
      <c r="N16" s="153"/>
      <c r="O16" s="428"/>
      <c r="P16" s="11"/>
      <c r="Q16" s="10"/>
    </row>
    <row r="17" spans="1:17" s="1" customFormat="1" ht="30.75" customHeight="1" thickBot="1">
      <c r="A17" s="421"/>
      <c r="B17" s="459"/>
      <c r="C17" s="151" t="s">
        <v>334</v>
      </c>
      <c r="D17" s="568"/>
      <c r="E17" s="589"/>
      <c r="F17" s="152"/>
      <c r="G17" s="151" t="s">
        <v>337</v>
      </c>
      <c r="H17" s="568"/>
      <c r="I17" s="589"/>
      <c r="J17" s="139"/>
      <c r="K17" s="151" t="s">
        <v>339</v>
      </c>
      <c r="L17" s="568"/>
      <c r="M17" s="602"/>
      <c r="N17" s="153"/>
      <c r="O17" s="428"/>
      <c r="P17" s="11"/>
      <c r="Q17" s="10"/>
    </row>
    <row r="18" spans="1:17" s="1" customFormat="1" ht="30" customHeight="1" thickBot="1">
      <c r="A18" s="421"/>
      <c r="B18" s="459"/>
      <c r="C18" s="151" t="s">
        <v>335</v>
      </c>
      <c r="D18" s="568"/>
      <c r="E18" s="589"/>
      <c r="F18" s="152"/>
      <c r="G18" s="151" t="s">
        <v>341</v>
      </c>
      <c r="H18" s="568"/>
      <c r="I18" s="589"/>
      <c r="J18" s="139"/>
      <c r="K18" s="151" t="s">
        <v>340</v>
      </c>
      <c r="L18" s="568"/>
      <c r="M18" s="602"/>
      <c r="N18" s="153"/>
      <c r="O18" s="428"/>
      <c r="P18" s="11"/>
      <c r="Q18" s="10"/>
    </row>
    <row r="19" spans="1:17" s="1" customFormat="1" ht="10.5" customHeight="1" thickBot="1">
      <c r="A19" s="421"/>
      <c r="B19" s="459"/>
      <c r="C19" s="154"/>
      <c r="D19" s="151"/>
      <c r="E19" s="153"/>
      <c r="F19" s="153"/>
      <c r="G19" s="153"/>
      <c r="H19" s="153"/>
      <c r="I19" s="155"/>
      <c r="J19" s="151"/>
      <c r="K19" s="151"/>
      <c r="L19" s="153"/>
      <c r="M19" s="153"/>
      <c r="N19" s="153"/>
      <c r="O19" s="425"/>
      <c r="P19" s="11"/>
      <c r="Q19" s="10"/>
    </row>
    <row r="20" spans="1:17" s="1" customFormat="1" ht="30.75" customHeight="1" thickBot="1">
      <c r="A20" s="421"/>
      <c r="B20" s="460"/>
      <c r="C20" s="156" t="s">
        <v>481</v>
      </c>
      <c r="D20" s="568"/>
      <c r="E20" s="569"/>
      <c r="F20" s="570"/>
      <c r="G20" s="156" t="s">
        <v>482</v>
      </c>
      <c r="H20" s="580"/>
      <c r="I20" s="581"/>
      <c r="J20" s="155"/>
      <c r="K20" s="151" t="s">
        <v>476</v>
      </c>
      <c r="L20" s="568"/>
      <c r="M20" s="602"/>
      <c r="N20" s="157"/>
      <c r="O20" s="429"/>
      <c r="P20" s="11"/>
      <c r="Q20" s="10"/>
    </row>
    <row r="21" spans="1:15" ht="24" customHeight="1" thickBot="1">
      <c r="A21" s="421"/>
      <c r="B21" s="572" t="s">
        <v>492</v>
      </c>
      <c r="C21" s="573"/>
      <c r="D21" s="158"/>
      <c r="E21" s="158"/>
      <c r="F21" s="158"/>
      <c r="G21" s="158"/>
      <c r="H21" s="158"/>
      <c r="I21" s="158"/>
      <c r="J21" s="158"/>
      <c r="K21" s="158"/>
      <c r="L21" s="159"/>
      <c r="M21" s="140"/>
      <c r="N21" s="140"/>
      <c r="O21" s="425"/>
    </row>
    <row r="22" spans="1:20" s="5" customFormat="1" ht="30" customHeight="1" thickBot="1">
      <c r="A22" s="421"/>
      <c r="B22" s="461"/>
      <c r="C22" s="151" t="s">
        <v>490</v>
      </c>
      <c r="D22" s="578">
        <f>IF('Order Summary'!J45+'Order Summary'!J8&gt;=60001,0.15,IF('Order Summary'!J45+'Order Summary'!J8&gt;=30001,0.12,IF('Order Summary'!J45+'Order Summary'!J8&gt;=20001,0.1,IF('Order Summary'!J45+'Order Summary'!J8&gt;=5001,0.05,0))))</f>
        <v>0</v>
      </c>
      <c r="E22" s="579">
        <f>IF(C20&gt;=60001,0.15,IF(C20&gt;=30001,0.12,IF(C20&gt;=20001,0.1,IF(C20&gt;=5001,0.05,0))))</f>
        <v>0.15</v>
      </c>
      <c r="F22" s="161"/>
      <c r="G22" s="151" t="s">
        <v>483</v>
      </c>
      <c r="H22" s="578"/>
      <c r="I22" s="579"/>
      <c r="J22" s="161"/>
      <c r="K22" s="161" t="s">
        <v>332</v>
      </c>
      <c r="L22" s="578">
        <v>0.25</v>
      </c>
      <c r="M22" s="579"/>
      <c r="N22" s="160"/>
      <c r="O22" s="430"/>
      <c r="T22" s="127"/>
    </row>
    <row r="23" spans="1:20" ht="10.5" customHeight="1">
      <c r="A23" s="421"/>
      <c r="B23" s="462"/>
      <c r="C23" s="571"/>
      <c r="D23" s="571"/>
      <c r="E23" s="571"/>
      <c r="F23" s="571"/>
      <c r="G23" s="571"/>
      <c r="H23" s="571"/>
      <c r="I23" s="571"/>
      <c r="J23" s="571"/>
      <c r="K23" s="571"/>
      <c r="L23" s="139"/>
      <c r="M23" s="162"/>
      <c r="N23" s="162"/>
      <c r="O23" s="431"/>
      <c r="T23" s="128"/>
    </row>
    <row r="24" spans="1:20" ht="24" customHeight="1">
      <c r="A24" s="421"/>
      <c r="B24" s="462"/>
      <c r="C24" s="163" t="s">
        <v>346</v>
      </c>
      <c r="D24" s="574">
        <f>IF(D16="","",IF(D16&lt;=$C$1,$D$1,IF(D16&lt;=$C$2,$D$2,IF(D16&lt;=$C$3,$D$3,IF(D16&lt;=$C$4,$D$4,"Net 30")))))</f>
      </c>
      <c r="E24" s="574">
        <f>IF(B24="","",IF(B24&lt;=$Q$5,$R$5,IF(B24&lt;=$Q$6,$R$6,IF(B24&lt;=$Q$7,$R$7,IF(B24&lt;=$Q$8,$R$8,"Net 30")))))</f>
      </c>
      <c r="F24" s="575"/>
      <c r="G24" s="139"/>
      <c r="H24" s="116"/>
      <c r="I24" s="442" t="s">
        <v>493</v>
      </c>
      <c r="J24" s="443"/>
      <c r="K24" s="444"/>
      <c r="L24" s="593"/>
      <c r="M24" s="594"/>
      <c r="N24" s="162"/>
      <c r="O24" s="431"/>
      <c r="T24" s="128"/>
    </row>
    <row r="25" spans="1:20" s="4" customFormat="1" ht="27" customHeight="1">
      <c r="A25" s="421"/>
      <c r="B25" s="463"/>
      <c r="C25" s="163" t="s">
        <v>347</v>
      </c>
      <c r="D25" s="574">
        <f>IF(D17="","",IF(D17&lt;=$C$1,$D$1,IF(D17&lt;=$C$2,$D$2,IF(D17&lt;=$C$3,$D$3,IF(D17&lt;=$C$4,$D$4,"Net 30")))))</f>
      </c>
      <c r="E25" s="574">
        <f>IF(B25="","",IF(B25&lt;=$Q$5,$R$5,IF(B25&lt;=$Q$6,$R$6,IF(B25&lt;=$Q$7,$R$7,IF(B25&lt;=$Q$8,$R$8,"Net 30")))))</f>
      </c>
      <c r="F25" s="575"/>
      <c r="G25" s="139"/>
      <c r="H25" s="123"/>
      <c r="I25" s="556" t="s">
        <v>324</v>
      </c>
      <c r="J25" s="564"/>
      <c r="K25" s="139"/>
      <c r="L25" s="597">
        <v>0.05</v>
      </c>
      <c r="M25" s="598"/>
      <c r="N25" s="123"/>
      <c r="O25" s="432"/>
      <c r="T25" s="129"/>
    </row>
    <row r="26" spans="1:20" ht="24" customHeight="1">
      <c r="A26" s="421"/>
      <c r="B26" s="464"/>
      <c r="C26" s="163" t="s">
        <v>348</v>
      </c>
      <c r="D26" s="574">
        <f>IF(D18="","",IF(D18&lt;=$C$1,$D$1,IF(D18&lt;=$C$2,$D$2,IF(D18&lt;=$C$3,$D$3,IF(D18&lt;=$C$4,$D$4,"Net 30")))))</f>
      </c>
      <c r="E26" s="574">
        <f>IF(B26="","",IF(B26&lt;=$Q$5,$R$5,IF(B26&lt;=$Q$6,$R$6,IF(B26&lt;=$Q$7,$R$7,IF(B26&lt;=$Q$8,$R$8,"Net 30")))))</f>
      </c>
      <c r="F26" s="575"/>
      <c r="G26" s="139"/>
      <c r="H26" s="116"/>
      <c r="I26" s="556" t="s">
        <v>325</v>
      </c>
      <c r="J26" s="564"/>
      <c r="K26" s="139"/>
      <c r="L26" s="597">
        <v>0.1</v>
      </c>
      <c r="M26" s="598"/>
      <c r="N26" s="116"/>
      <c r="O26" s="425"/>
      <c r="Q26" s="128"/>
      <c r="R26" s="128"/>
      <c r="S26" s="128"/>
      <c r="T26" s="128"/>
    </row>
    <row r="27" spans="1:15" ht="22.5" customHeight="1">
      <c r="A27" s="433"/>
      <c r="B27" s="464"/>
      <c r="C27" s="139"/>
      <c r="D27" s="139"/>
      <c r="E27" s="165"/>
      <c r="F27" s="165"/>
      <c r="G27" s="165"/>
      <c r="H27" s="116"/>
      <c r="I27" s="556" t="s">
        <v>326</v>
      </c>
      <c r="J27" s="564"/>
      <c r="K27" s="139"/>
      <c r="L27" s="597">
        <v>0.12</v>
      </c>
      <c r="M27" s="598"/>
      <c r="N27" s="116"/>
      <c r="O27" s="425"/>
    </row>
    <row r="28" spans="1:15" ht="21" customHeight="1">
      <c r="A28" s="433"/>
      <c r="B28" s="464"/>
      <c r="C28" s="576" t="s">
        <v>71</v>
      </c>
      <c r="D28" s="577"/>
      <c r="E28" s="577"/>
      <c r="F28" s="577"/>
      <c r="G28" s="165"/>
      <c r="H28" s="116"/>
      <c r="I28" s="558" t="s">
        <v>327</v>
      </c>
      <c r="J28" s="584"/>
      <c r="K28" s="445"/>
      <c r="L28" s="582">
        <v>0.15</v>
      </c>
      <c r="M28" s="583"/>
      <c r="N28" s="116"/>
      <c r="O28" s="425"/>
    </row>
    <row r="29" spans="1:15" ht="30" customHeight="1">
      <c r="A29" s="433"/>
      <c r="B29" s="465"/>
      <c r="C29" s="587" t="s">
        <v>328</v>
      </c>
      <c r="D29" s="588"/>
      <c r="E29" s="585" t="s">
        <v>494</v>
      </c>
      <c r="F29" s="586"/>
      <c r="G29" s="586"/>
      <c r="H29" s="116"/>
      <c r="I29" s="164" t="s">
        <v>495</v>
      </c>
      <c r="J29" s="166"/>
      <c r="K29" s="166"/>
      <c r="L29" s="563"/>
      <c r="M29" s="564"/>
      <c r="N29" s="400"/>
      <c r="O29" s="434"/>
    </row>
    <row r="30" spans="1:15" ht="21" customHeight="1">
      <c r="A30" s="433"/>
      <c r="B30" s="465"/>
      <c r="C30" s="566" t="s">
        <v>323</v>
      </c>
      <c r="D30" s="567"/>
      <c r="E30" s="618">
        <v>41011</v>
      </c>
      <c r="F30" s="618"/>
      <c r="G30" s="619"/>
      <c r="H30" s="116"/>
      <c r="I30" s="560" t="s">
        <v>72</v>
      </c>
      <c r="J30" s="561"/>
      <c r="K30" s="561"/>
      <c r="L30" s="561"/>
      <c r="M30" s="120"/>
      <c r="N30" s="121"/>
      <c r="O30" s="436"/>
    </row>
    <row r="31" spans="1:15" ht="24" customHeight="1">
      <c r="A31" s="433"/>
      <c r="B31" s="465"/>
      <c r="C31" s="556" t="s">
        <v>322</v>
      </c>
      <c r="D31" s="557"/>
      <c r="E31" s="618">
        <v>41041</v>
      </c>
      <c r="F31" s="618"/>
      <c r="G31" s="619"/>
      <c r="H31" s="116"/>
      <c r="I31" s="562" t="s">
        <v>84</v>
      </c>
      <c r="J31" s="561"/>
      <c r="K31" s="561"/>
      <c r="L31" s="561"/>
      <c r="M31" s="140"/>
      <c r="N31" s="162"/>
      <c r="O31" s="431"/>
    </row>
    <row r="32" spans="1:15" ht="22.5" customHeight="1">
      <c r="A32" s="433"/>
      <c r="B32" s="465"/>
      <c r="C32" s="556" t="s">
        <v>279</v>
      </c>
      <c r="D32" s="557"/>
      <c r="E32" s="618">
        <v>41072</v>
      </c>
      <c r="F32" s="618"/>
      <c r="G32" s="619"/>
      <c r="H32" s="116"/>
      <c r="I32" s="164" t="s">
        <v>329</v>
      </c>
      <c r="J32" s="166"/>
      <c r="K32" s="166"/>
      <c r="L32" s="563"/>
      <c r="M32" s="564"/>
      <c r="N32" s="162"/>
      <c r="O32" s="431"/>
    </row>
    <row r="33" spans="1:15" s="2" customFormat="1" ht="22.5" customHeight="1">
      <c r="A33" s="437"/>
      <c r="B33" s="466"/>
      <c r="C33" s="556" t="s">
        <v>280</v>
      </c>
      <c r="D33" s="557"/>
      <c r="E33" s="618" t="s">
        <v>24</v>
      </c>
      <c r="F33" s="618"/>
      <c r="G33" s="619"/>
      <c r="H33" s="448"/>
      <c r="I33" s="122" t="s">
        <v>330</v>
      </c>
      <c r="J33" s="165"/>
      <c r="K33" s="165"/>
      <c r="L33" s="165"/>
      <c r="M33" s="140"/>
      <c r="N33" s="162"/>
      <c r="O33" s="431"/>
    </row>
    <row r="34" spans="1:15" s="2" customFormat="1" ht="22.5" customHeight="1">
      <c r="A34" s="437"/>
      <c r="B34" s="466"/>
      <c r="C34" s="558" t="s">
        <v>320</v>
      </c>
      <c r="D34" s="559"/>
      <c r="E34" s="591" t="s">
        <v>321</v>
      </c>
      <c r="F34" s="591"/>
      <c r="G34" s="592"/>
      <c r="H34" s="448"/>
      <c r="I34" s="565" t="s">
        <v>85</v>
      </c>
      <c r="J34" s="564"/>
      <c r="K34" s="564"/>
      <c r="L34" s="564"/>
      <c r="M34" s="564"/>
      <c r="N34" s="399"/>
      <c r="O34" s="449"/>
    </row>
    <row r="35" spans="1:15" s="7" customFormat="1" ht="21" customHeight="1" thickBot="1">
      <c r="A35" s="440"/>
      <c r="B35" s="468"/>
      <c r="C35" s="122"/>
      <c r="D35" s="435"/>
      <c r="E35" s="590"/>
      <c r="F35" s="590"/>
      <c r="G35" s="590"/>
      <c r="H35" s="90"/>
      <c r="I35" s="595" t="s">
        <v>86</v>
      </c>
      <c r="J35" s="596"/>
      <c r="K35" s="596"/>
      <c r="L35" s="596"/>
      <c r="M35" s="596"/>
      <c r="N35" s="152"/>
      <c r="O35" s="432"/>
    </row>
    <row r="36" spans="2:15" ht="9.75" customHeight="1" thickBot="1">
      <c r="B36" s="467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9"/>
    </row>
    <row r="37" ht="25.5" customHeight="1"/>
    <row r="38" ht="16.5" customHeight="1"/>
    <row r="39" s="4" customFormat="1" ht="28.5" customHeight="1"/>
    <row r="40" ht="16.5" customHeight="1"/>
    <row r="41" s="7" customFormat="1" ht="16.5" customHeight="1"/>
    <row r="42" ht="16.5" customHeight="1"/>
    <row r="43" ht="16.5" customHeight="1"/>
    <row r="44" s="4" customFormat="1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="8" customFormat="1" ht="16.5" customHeight="1"/>
    <row r="53" s="6" customFormat="1" ht="16.5" customHeight="1"/>
    <row r="54" s="4" customFormat="1" ht="16.5" customHeight="1"/>
    <row r="55" ht="16.5" customHeight="1"/>
    <row r="56" s="4" customFormat="1" ht="16.5" customHeight="1"/>
    <row r="57" ht="16.5" customHeight="1"/>
    <row r="58" s="4" customFormat="1" ht="16.5" customHeight="1"/>
  </sheetData>
  <sheetProtection/>
  <mergeCells count="67">
    <mergeCell ref="J7:N7"/>
    <mergeCell ref="C7:G7"/>
    <mergeCell ref="E31:G31"/>
    <mergeCell ref="E32:G32"/>
    <mergeCell ref="E33:G33"/>
    <mergeCell ref="E30:G30"/>
    <mergeCell ref="C11:G11"/>
    <mergeCell ref="C12:G12"/>
    <mergeCell ref="C14:D14"/>
    <mergeCell ref="L22:M22"/>
    <mergeCell ref="J11:N11"/>
    <mergeCell ref="J12:N12"/>
    <mergeCell ref="L20:M20"/>
    <mergeCell ref="H16:I16"/>
    <mergeCell ref="B9:H9"/>
    <mergeCell ref="C10:G10"/>
    <mergeCell ref="D17:E17"/>
    <mergeCell ref="H17:I17"/>
    <mergeCell ref="M14:N14"/>
    <mergeCell ref="J14:K14"/>
    <mergeCell ref="B6:O6"/>
    <mergeCell ref="L16:M16"/>
    <mergeCell ref="L17:M17"/>
    <mergeCell ref="L18:M18"/>
    <mergeCell ref="J8:N8"/>
    <mergeCell ref="C8:G8"/>
    <mergeCell ref="D18:E18"/>
    <mergeCell ref="F14:G14"/>
    <mergeCell ref="I9:O9"/>
    <mergeCell ref="J10:N10"/>
    <mergeCell ref="D16:E16"/>
    <mergeCell ref="H18:I18"/>
    <mergeCell ref="E35:G35"/>
    <mergeCell ref="E34:G34"/>
    <mergeCell ref="L24:M24"/>
    <mergeCell ref="I35:M35"/>
    <mergeCell ref="L25:M25"/>
    <mergeCell ref="L26:M26"/>
    <mergeCell ref="L27:M27"/>
    <mergeCell ref="I25:J25"/>
    <mergeCell ref="I27:J27"/>
    <mergeCell ref="H22:I22"/>
    <mergeCell ref="C23:D23"/>
    <mergeCell ref="H20:I20"/>
    <mergeCell ref="L29:M29"/>
    <mergeCell ref="L28:M28"/>
    <mergeCell ref="I28:J28"/>
    <mergeCell ref="E29:G29"/>
    <mergeCell ref="C29:D29"/>
    <mergeCell ref="D20:F20"/>
    <mergeCell ref="E23:K23"/>
    <mergeCell ref="B21:C21"/>
    <mergeCell ref="C32:D32"/>
    <mergeCell ref="D24:F24"/>
    <mergeCell ref="D25:F25"/>
    <mergeCell ref="D26:F26"/>
    <mergeCell ref="C28:F28"/>
    <mergeCell ref="D22:E22"/>
    <mergeCell ref="I26:J26"/>
    <mergeCell ref="C33:D33"/>
    <mergeCell ref="C34:D34"/>
    <mergeCell ref="I30:L30"/>
    <mergeCell ref="I31:L31"/>
    <mergeCell ref="L32:M32"/>
    <mergeCell ref="I34:M34"/>
    <mergeCell ref="C30:D30"/>
    <mergeCell ref="C31:D31"/>
  </mergeCells>
  <printOptions/>
  <pageMargins left="0.75" right="0.75" top="0.52" bottom="0.5" header="0.5" footer="0.5"/>
  <pageSetup fitToHeight="1" fitToWidth="1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showGridLines="0" showRowColHeaders="0" zoomScalePageLayoutView="0" workbookViewId="0" topLeftCell="A1">
      <selection activeCell="R12" sqref="R12"/>
    </sheetView>
  </sheetViews>
  <sheetFormatPr defaultColWidth="8.8515625" defaultRowHeight="12.75"/>
  <cols>
    <col min="1" max="1" width="9.140625" style="0" customWidth="1"/>
    <col min="2" max="2" width="26.421875" style="0" customWidth="1"/>
    <col min="3" max="3" width="6.140625" style="0" customWidth="1"/>
    <col min="4" max="4" width="6.421875" style="0" customWidth="1"/>
    <col min="5" max="5" width="5.8515625" style="0" customWidth="1"/>
    <col min="6" max="6" width="7.421875" style="0" customWidth="1"/>
    <col min="7" max="7" width="8.8515625" style="526" customWidth="1"/>
    <col min="8" max="8" width="11.00390625" style="0" hidden="1" customWidth="1"/>
    <col min="9" max="9" width="12.00390625" style="0" bestFit="1" customWidth="1"/>
    <col min="10" max="15" width="8.421875" style="0" hidden="1" customWidth="1"/>
    <col min="16" max="16" width="11.00390625" style="0" bestFit="1" customWidth="1"/>
  </cols>
  <sheetData>
    <row r="1" spans="1:18" s="208" customFormat="1" ht="15.75" customHeight="1">
      <c r="A1" s="401" t="s">
        <v>315</v>
      </c>
      <c r="B1" s="401" t="s">
        <v>316</v>
      </c>
      <c r="C1" s="401" t="s">
        <v>342</v>
      </c>
      <c r="D1" s="401" t="s">
        <v>343</v>
      </c>
      <c r="E1" s="401" t="s">
        <v>344</v>
      </c>
      <c r="F1" s="402" t="s">
        <v>345</v>
      </c>
      <c r="G1" s="540" t="s">
        <v>498</v>
      </c>
      <c r="H1" s="403" t="s">
        <v>473</v>
      </c>
      <c r="I1" s="401" t="s">
        <v>499</v>
      </c>
      <c r="J1" s="401" t="s">
        <v>464</v>
      </c>
      <c r="K1" s="401" t="s">
        <v>465</v>
      </c>
      <c r="L1" s="401" t="s">
        <v>466</v>
      </c>
      <c r="M1" s="401" t="s">
        <v>467</v>
      </c>
      <c r="N1" s="401" t="s">
        <v>468</v>
      </c>
      <c r="O1" s="401" t="s">
        <v>469</v>
      </c>
      <c r="P1" s="404" t="s">
        <v>318</v>
      </c>
      <c r="Q1" s="207"/>
      <c r="R1" s="207"/>
    </row>
    <row r="2" spans="1:16" ht="15.75" customHeight="1">
      <c r="A2" s="657" t="s">
        <v>57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ht="12.75" customHeight="1">
      <c r="A3" s="363">
        <v>2128011</v>
      </c>
      <c r="B3" s="364" t="s">
        <v>58</v>
      </c>
      <c r="C3" s="242"/>
      <c r="D3" s="242"/>
      <c r="E3" s="242"/>
      <c r="F3" s="243">
        <f>SUM(C3:E3)</f>
        <v>0</v>
      </c>
      <c r="G3" s="523">
        <f>SUM(I3*0.6)</f>
        <v>137.994</v>
      </c>
      <c r="H3" s="245">
        <f>G3*(1-'Dealer Inputs'!$H$22)*(1-'Dealer Inputs'!$L$22)</f>
        <v>103.49549999999999</v>
      </c>
      <c r="I3" s="262">
        <v>229.99</v>
      </c>
      <c r="J3" s="245"/>
      <c r="K3" s="245"/>
      <c r="L3" s="245"/>
      <c r="M3" s="245"/>
      <c r="N3" s="245"/>
      <c r="O3" s="245"/>
      <c r="P3" s="247">
        <f aca="true" t="shared" si="0" ref="P3:P32">H3*F3</f>
        <v>0</v>
      </c>
    </row>
    <row r="4" spans="1:16" ht="12.75" customHeight="1">
      <c r="A4" s="363">
        <v>2115583</v>
      </c>
      <c r="B4" s="364" t="s">
        <v>382</v>
      </c>
      <c r="C4" s="242"/>
      <c r="D4" s="242"/>
      <c r="E4" s="242"/>
      <c r="F4" s="243">
        <f>SUM(C4:E4)</f>
        <v>0</v>
      </c>
      <c r="G4" s="523">
        <f aca="true" t="shared" si="1" ref="G4:G15">SUM(I4*0.6)</f>
        <v>95.994</v>
      </c>
      <c r="H4" s="245">
        <f>G4*(1-'Dealer Inputs'!$H$22)*(1-'Dealer Inputs'!$L$22)</f>
        <v>71.99549999999999</v>
      </c>
      <c r="I4" s="262">
        <v>159.99</v>
      </c>
      <c r="J4" s="245">
        <f>SUM(C4*$G4)</f>
        <v>0</v>
      </c>
      <c r="K4" s="245">
        <f>SUM(D4*$G4)</f>
        <v>0</v>
      </c>
      <c r="L4" s="245">
        <f>SUM(E4*$G4)</f>
        <v>0</v>
      </c>
      <c r="M4" s="245">
        <f>SUM(C4*$H4)</f>
        <v>0</v>
      </c>
      <c r="N4" s="245">
        <f aca="true" t="shared" si="2" ref="N4:O19">SUM(D4*$H4)</f>
        <v>0</v>
      </c>
      <c r="O4" s="245">
        <f t="shared" si="2"/>
        <v>0</v>
      </c>
      <c r="P4" s="247">
        <f t="shared" si="0"/>
        <v>0</v>
      </c>
    </row>
    <row r="5" spans="1:16" ht="12.75">
      <c r="A5" s="365">
        <v>2125578</v>
      </c>
      <c r="B5" s="366" t="s">
        <v>363</v>
      </c>
      <c r="C5" s="242"/>
      <c r="D5" s="242"/>
      <c r="E5" s="242"/>
      <c r="F5" s="243">
        <f aca="true" t="shared" si="3" ref="F5:F32">SUM(C5:E5)</f>
        <v>0</v>
      </c>
      <c r="G5" s="523">
        <f t="shared" si="1"/>
        <v>95.994</v>
      </c>
      <c r="H5" s="245">
        <f>G5*(1-'Dealer Inputs'!$H$22)*(1-'Dealer Inputs'!$L$22)</f>
        <v>71.99549999999999</v>
      </c>
      <c r="I5" s="262">
        <v>159.99</v>
      </c>
      <c r="J5" s="245">
        <f aca="true" t="shared" si="4" ref="J5:J32">SUM(C5*$G5)</f>
        <v>0</v>
      </c>
      <c r="K5" s="245">
        <f aca="true" t="shared" si="5" ref="K5:K32">SUM(D5*$G5)</f>
        <v>0</v>
      </c>
      <c r="L5" s="245">
        <f aca="true" t="shared" si="6" ref="L5:L32">SUM(E5*$G5)</f>
        <v>0</v>
      </c>
      <c r="M5" s="245">
        <f aca="true" t="shared" si="7" ref="M5:M32">SUM(C5*$H5)</f>
        <v>0</v>
      </c>
      <c r="N5" s="245">
        <f t="shared" si="2"/>
        <v>0</v>
      </c>
      <c r="O5" s="245">
        <f t="shared" si="2"/>
        <v>0</v>
      </c>
      <c r="P5" s="247">
        <f t="shared" si="0"/>
        <v>0</v>
      </c>
    </row>
    <row r="6" spans="1:16" ht="13.5" customHeight="1">
      <c r="A6" s="365">
        <v>2115582</v>
      </c>
      <c r="B6" s="367" t="s">
        <v>381</v>
      </c>
      <c r="C6" s="242"/>
      <c r="D6" s="242"/>
      <c r="E6" s="242"/>
      <c r="F6" s="243">
        <f t="shared" si="3"/>
        <v>0</v>
      </c>
      <c r="G6" s="523">
        <f t="shared" si="1"/>
        <v>89.994</v>
      </c>
      <c r="H6" s="245">
        <f>G6*(1-'Dealer Inputs'!$H$22)*(1-'Dealer Inputs'!$L$22)</f>
        <v>67.49549999999999</v>
      </c>
      <c r="I6" s="262">
        <v>149.99</v>
      </c>
      <c r="J6" s="245">
        <f t="shared" si="4"/>
        <v>0</v>
      </c>
      <c r="K6" s="245">
        <f t="shared" si="5"/>
        <v>0</v>
      </c>
      <c r="L6" s="245">
        <f t="shared" si="6"/>
        <v>0</v>
      </c>
      <c r="M6" s="245">
        <f t="shared" si="7"/>
        <v>0</v>
      </c>
      <c r="N6" s="245">
        <f t="shared" si="2"/>
        <v>0</v>
      </c>
      <c r="O6" s="245">
        <f t="shared" si="2"/>
        <v>0</v>
      </c>
      <c r="P6" s="247">
        <f t="shared" si="0"/>
        <v>0</v>
      </c>
    </row>
    <row r="7" spans="1:16" ht="12.75">
      <c r="A7" s="365">
        <v>2125584</v>
      </c>
      <c r="B7" s="366" t="s">
        <v>364</v>
      </c>
      <c r="C7" s="242"/>
      <c r="D7" s="242"/>
      <c r="E7" s="242"/>
      <c r="F7" s="243">
        <f t="shared" si="3"/>
        <v>0</v>
      </c>
      <c r="G7" s="523">
        <f>SUM(I7*0.6)</f>
        <v>89.994</v>
      </c>
      <c r="H7" s="245">
        <f>G7*(1-'Dealer Inputs'!$H$22)*(1-'Dealer Inputs'!$L$22)</f>
        <v>67.49549999999999</v>
      </c>
      <c r="I7" s="262">
        <v>149.99</v>
      </c>
      <c r="J7" s="245">
        <f t="shared" si="4"/>
        <v>0</v>
      </c>
      <c r="K7" s="245">
        <f t="shared" si="5"/>
        <v>0</v>
      </c>
      <c r="L7" s="245">
        <f t="shared" si="6"/>
        <v>0</v>
      </c>
      <c r="M7" s="245">
        <f t="shared" si="7"/>
        <v>0</v>
      </c>
      <c r="N7" s="245">
        <f t="shared" si="2"/>
        <v>0</v>
      </c>
      <c r="O7" s="245">
        <f t="shared" si="2"/>
        <v>0</v>
      </c>
      <c r="P7" s="247">
        <f t="shared" si="0"/>
        <v>0</v>
      </c>
    </row>
    <row r="8" spans="1:16" ht="12.75">
      <c r="A8" s="363">
        <v>2115585</v>
      </c>
      <c r="B8" s="364" t="s">
        <v>365</v>
      </c>
      <c r="C8" s="242"/>
      <c r="D8" s="242"/>
      <c r="E8" s="242"/>
      <c r="F8" s="243">
        <f t="shared" si="3"/>
        <v>0</v>
      </c>
      <c r="G8" s="523">
        <f t="shared" si="1"/>
        <v>77.994</v>
      </c>
      <c r="H8" s="245">
        <f>G8*(1-'Dealer Inputs'!$H$22)*(1-'Dealer Inputs'!$L$22)</f>
        <v>58.4955</v>
      </c>
      <c r="I8" s="262">
        <v>129.99</v>
      </c>
      <c r="J8" s="245">
        <f t="shared" si="4"/>
        <v>0</v>
      </c>
      <c r="K8" s="245">
        <f t="shared" si="5"/>
        <v>0</v>
      </c>
      <c r="L8" s="245">
        <f t="shared" si="6"/>
        <v>0</v>
      </c>
      <c r="M8" s="245">
        <f t="shared" si="7"/>
        <v>0</v>
      </c>
      <c r="N8" s="245">
        <f t="shared" si="2"/>
        <v>0</v>
      </c>
      <c r="O8" s="245">
        <f t="shared" si="2"/>
        <v>0</v>
      </c>
      <c r="P8" s="247">
        <f t="shared" si="0"/>
        <v>0</v>
      </c>
    </row>
    <row r="9" spans="1:16" ht="12.75">
      <c r="A9" s="365">
        <v>2115584</v>
      </c>
      <c r="B9" s="367" t="s">
        <v>383</v>
      </c>
      <c r="C9" s="242"/>
      <c r="D9" s="242"/>
      <c r="E9" s="242"/>
      <c r="F9" s="243">
        <f t="shared" si="3"/>
        <v>0</v>
      </c>
      <c r="G9" s="523">
        <f t="shared" si="1"/>
        <v>29.994</v>
      </c>
      <c r="H9" s="245">
        <f>G9*(1-'Dealer Inputs'!$H$22)*(1-'Dealer Inputs'!$L$22)</f>
        <v>22.4955</v>
      </c>
      <c r="I9" s="262">
        <v>49.99</v>
      </c>
      <c r="J9" s="245">
        <f t="shared" si="4"/>
        <v>0</v>
      </c>
      <c r="K9" s="245">
        <f t="shared" si="5"/>
        <v>0</v>
      </c>
      <c r="L9" s="245">
        <f t="shared" si="6"/>
        <v>0</v>
      </c>
      <c r="M9" s="245">
        <f t="shared" si="7"/>
        <v>0</v>
      </c>
      <c r="N9" s="245">
        <f t="shared" si="2"/>
        <v>0</v>
      </c>
      <c r="O9" s="245">
        <f t="shared" si="2"/>
        <v>0</v>
      </c>
      <c r="P9" s="247">
        <f t="shared" si="0"/>
        <v>0</v>
      </c>
    </row>
    <row r="10" spans="1:16" ht="13.5" customHeight="1">
      <c r="A10" s="363">
        <v>2115581</v>
      </c>
      <c r="B10" s="364" t="s">
        <v>380</v>
      </c>
      <c r="C10" s="242"/>
      <c r="D10" s="242"/>
      <c r="E10" s="242"/>
      <c r="F10" s="243">
        <f t="shared" si="3"/>
        <v>0</v>
      </c>
      <c r="G10" s="523">
        <f t="shared" si="1"/>
        <v>59.99399999999999</v>
      </c>
      <c r="H10" s="245">
        <f>G10*(1-'Dealer Inputs'!$H$22)*(1-'Dealer Inputs'!$L$22)</f>
        <v>44.99549999999999</v>
      </c>
      <c r="I10" s="262">
        <v>99.99</v>
      </c>
      <c r="J10" s="245">
        <f t="shared" si="4"/>
        <v>0</v>
      </c>
      <c r="K10" s="245">
        <f t="shared" si="5"/>
        <v>0</v>
      </c>
      <c r="L10" s="245">
        <f t="shared" si="6"/>
        <v>0</v>
      </c>
      <c r="M10" s="245">
        <f t="shared" si="7"/>
        <v>0</v>
      </c>
      <c r="N10" s="245">
        <f t="shared" si="2"/>
        <v>0</v>
      </c>
      <c r="O10" s="245">
        <f t="shared" si="2"/>
        <v>0</v>
      </c>
      <c r="P10" s="247">
        <f t="shared" si="0"/>
        <v>0</v>
      </c>
    </row>
    <row r="11" spans="1:16" ht="13.5" customHeight="1">
      <c r="A11" s="365">
        <v>2125583</v>
      </c>
      <c r="B11" s="366" t="s">
        <v>216</v>
      </c>
      <c r="C11" s="242"/>
      <c r="D11" s="242"/>
      <c r="E11" s="242"/>
      <c r="F11" s="243">
        <f t="shared" si="3"/>
        <v>0</v>
      </c>
      <c r="G11" s="523">
        <f t="shared" si="1"/>
        <v>41.99399999999999</v>
      </c>
      <c r="H11" s="245">
        <f>G11*(1-'Dealer Inputs'!$H$22)*(1-'Dealer Inputs'!$L$22)</f>
        <v>31.495499999999993</v>
      </c>
      <c r="I11" s="262">
        <v>69.99</v>
      </c>
      <c r="J11" s="245">
        <f t="shared" si="4"/>
        <v>0</v>
      </c>
      <c r="K11" s="245">
        <f t="shared" si="5"/>
        <v>0</v>
      </c>
      <c r="L11" s="245">
        <f t="shared" si="6"/>
        <v>0</v>
      </c>
      <c r="M11" s="245">
        <f t="shared" si="7"/>
        <v>0</v>
      </c>
      <c r="N11" s="245">
        <f t="shared" si="2"/>
        <v>0</v>
      </c>
      <c r="O11" s="245">
        <f t="shared" si="2"/>
        <v>0</v>
      </c>
      <c r="P11" s="247">
        <f t="shared" si="0"/>
        <v>0</v>
      </c>
    </row>
    <row r="12" spans="1:16" ht="12.75">
      <c r="A12" s="365">
        <v>2115580</v>
      </c>
      <c r="B12" s="367" t="s">
        <v>379</v>
      </c>
      <c r="C12" s="242"/>
      <c r="D12" s="242"/>
      <c r="E12" s="242"/>
      <c r="F12" s="243">
        <f t="shared" si="3"/>
        <v>0</v>
      </c>
      <c r="G12" s="523">
        <f t="shared" si="1"/>
        <v>35.994</v>
      </c>
      <c r="H12" s="245">
        <f>G12*(1-'Dealer Inputs'!$H$22)*(1-'Dealer Inputs'!$L$22)</f>
        <v>26.9955</v>
      </c>
      <c r="I12" s="262">
        <v>59.99</v>
      </c>
      <c r="J12" s="245"/>
      <c r="K12" s="245"/>
      <c r="L12" s="245"/>
      <c r="M12" s="245"/>
      <c r="N12" s="245"/>
      <c r="O12" s="245"/>
      <c r="P12" s="247">
        <f t="shared" si="0"/>
        <v>0</v>
      </c>
    </row>
    <row r="13" spans="1:16" ht="12.75">
      <c r="A13" s="363">
        <v>2115579</v>
      </c>
      <c r="B13" s="364" t="s">
        <v>378</v>
      </c>
      <c r="C13" s="242"/>
      <c r="D13" s="242"/>
      <c r="E13" s="242"/>
      <c r="F13" s="243">
        <f t="shared" si="3"/>
        <v>0</v>
      </c>
      <c r="G13" s="523">
        <f t="shared" si="1"/>
        <v>32.994</v>
      </c>
      <c r="H13" s="245">
        <f>G13*(1-'Dealer Inputs'!$H$22)*(1-'Dealer Inputs'!$L$22)</f>
        <v>24.7455</v>
      </c>
      <c r="I13" s="262">
        <v>54.99</v>
      </c>
      <c r="J13" s="245">
        <f t="shared" si="4"/>
        <v>0</v>
      </c>
      <c r="K13" s="245">
        <f t="shared" si="5"/>
        <v>0</v>
      </c>
      <c r="L13" s="245">
        <f t="shared" si="6"/>
        <v>0</v>
      </c>
      <c r="M13" s="245">
        <f t="shared" si="7"/>
        <v>0</v>
      </c>
      <c r="N13" s="245">
        <f t="shared" si="2"/>
        <v>0</v>
      </c>
      <c r="O13" s="245">
        <f t="shared" si="2"/>
        <v>0</v>
      </c>
      <c r="P13" s="247">
        <f t="shared" si="0"/>
        <v>0</v>
      </c>
    </row>
    <row r="14" spans="1:16" ht="12.75">
      <c r="A14" s="363">
        <v>2115577</v>
      </c>
      <c r="B14" s="364" t="s">
        <v>217</v>
      </c>
      <c r="C14" s="242"/>
      <c r="D14" s="242"/>
      <c r="E14" s="242"/>
      <c r="F14" s="243">
        <f t="shared" si="3"/>
        <v>0</v>
      </c>
      <c r="G14" s="523">
        <f t="shared" si="1"/>
        <v>32.994</v>
      </c>
      <c r="H14" s="245">
        <f>G14*(1-'Dealer Inputs'!$H$22)*(1-'Dealer Inputs'!$L$22)</f>
        <v>24.7455</v>
      </c>
      <c r="I14" s="262">
        <v>54.99</v>
      </c>
      <c r="J14" s="245">
        <f t="shared" si="4"/>
        <v>0</v>
      </c>
      <c r="K14" s="245">
        <f t="shared" si="5"/>
        <v>0</v>
      </c>
      <c r="L14" s="245">
        <f t="shared" si="6"/>
        <v>0</v>
      </c>
      <c r="M14" s="245">
        <f t="shared" si="7"/>
        <v>0</v>
      </c>
      <c r="N14" s="245">
        <f t="shared" si="2"/>
        <v>0</v>
      </c>
      <c r="O14" s="245">
        <f t="shared" si="2"/>
        <v>0</v>
      </c>
      <c r="P14" s="247">
        <f t="shared" si="0"/>
        <v>0</v>
      </c>
    </row>
    <row r="15" spans="1:16" ht="12.75">
      <c r="A15" s="365">
        <v>2115578</v>
      </c>
      <c r="B15" s="367" t="s">
        <v>218</v>
      </c>
      <c r="C15" s="242"/>
      <c r="D15" s="242"/>
      <c r="E15" s="242"/>
      <c r="F15" s="243">
        <f t="shared" si="3"/>
        <v>0</v>
      </c>
      <c r="G15" s="523">
        <f t="shared" si="1"/>
        <v>32.994</v>
      </c>
      <c r="H15" s="245">
        <f>G15*(1-'Dealer Inputs'!$H$22)*(1-'Dealer Inputs'!$L$22)</f>
        <v>24.7455</v>
      </c>
      <c r="I15" s="262">
        <v>54.99</v>
      </c>
      <c r="J15" s="245">
        <f t="shared" si="4"/>
        <v>0</v>
      </c>
      <c r="K15" s="245">
        <f t="shared" si="5"/>
        <v>0</v>
      </c>
      <c r="L15" s="245">
        <f t="shared" si="6"/>
        <v>0</v>
      </c>
      <c r="M15" s="245">
        <f t="shared" si="7"/>
        <v>0</v>
      </c>
      <c r="N15" s="245">
        <f t="shared" si="2"/>
        <v>0</v>
      </c>
      <c r="O15" s="245">
        <f t="shared" si="2"/>
        <v>0</v>
      </c>
      <c r="P15" s="247">
        <f t="shared" si="0"/>
        <v>0</v>
      </c>
    </row>
    <row r="16" spans="1:16" ht="6" customHeight="1">
      <c r="A16" s="368"/>
      <c r="B16" s="369"/>
      <c r="C16" s="361"/>
      <c r="D16" s="361"/>
      <c r="E16" s="361"/>
      <c r="F16" s="370"/>
      <c r="G16" s="523"/>
      <c r="H16" s="371"/>
      <c r="I16" s="372"/>
      <c r="J16" s="371"/>
      <c r="K16" s="371"/>
      <c r="L16" s="371"/>
      <c r="M16" s="371"/>
      <c r="N16" s="371"/>
      <c r="O16" s="371"/>
      <c r="P16" s="373"/>
    </row>
    <row r="17" spans="1:16" ht="12.75" customHeight="1">
      <c r="A17" s="363">
        <v>2128010</v>
      </c>
      <c r="B17" s="364" t="s">
        <v>87</v>
      </c>
      <c r="C17" s="242"/>
      <c r="D17" s="242"/>
      <c r="E17" s="242"/>
      <c r="F17" s="243">
        <f t="shared" si="3"/>
        <v>0</v>
      </c>
      <c r="G17" s="523">
        <f>SUM(I17*0.6)</f>
        <v>29.994</v>
      </c>
      <c r="H17" s="245">
        <f>G17*(1-'Dealer Inputs'!$H$22)*(1-'Dealer Inputs'!$L$22)</f>
        <v>22.4955</v>
      </c>
      <c r="I17" s="262">
        <v>49.99</v>
      </c>
      <c r="J17" s="245">
        <f t="shared" si="4"/>
        <v>0</v>
      </c>
      <c r="K17" s="245">
        <f t="shared" si="5"/>
        <v>0</v>
      </c>
      <c r="L17" s="245">
        <f t="shared" si="6"/>
        <v>0</v>
      </c>
      <c r="M17" s="245">
        <f t="shared" si="7"/>
        <v>0</v>
      </c>
      <c r="N17" s="245">
        <f t="shared" si="2"/>
        <v>0</v>
      </c>
      <c r="O17" s="245">
        <f t="shared" si="2"/>
        <v>0</v>
      </c>
      <c r="P17" s="247">
        <f t="shared" si="0"/>
        <v>0</v>
      </c>
    </row>
    <row r="18" spans="1:16" ht="12.75">
      <c r="A18" s="363">
        <v>2115575</v>
      </c>
      <c r="B18" s="364" t="s">
        <v>88</v>
      </c>
      <c r="C18" s="242"/>
      <c r="D18" s="242"/>
      <c r="E18" s="242"/>
      <c r="F18" s="243">
        <f t="shared" si="3"/>
        <v>0</v>
      </c>
      <c r="G18" s="523">
        <f aca="true" t="shared" si="8" ref="G18:G28">SUM(I18*0.6)</f>
        <v>83.994</v>
      </c>
      <c r="H18" s="245">
        <f>G18*(1-'Dealer Inputs'!$H$22)*(1-'Dealer Inputs'!$L$22)</f>
        <v>62.9955</v>
      </c>
      <c r="I18" s="262">
        <v>139.99</v>
      </c>
      <c r="J18" s="245">
        <f t="shared" si="4"/>
        <v>0</v>
      </c>
      <c r="K18" s="245">
        <f t="shared" si="5"/>
        <v>0</v>
      </c>
      <c r="L18" s="245">
        <f t="shared" si="6"/>
        <v>0</v>
      </c>
      <c r="M18" s="245">
        <f t="shared" si="7"/>
        <v>0</v>
      </c>
      <c r="N18" s="245">
        <f t="shared" si="2"/>
        <v>0</v>
      </c>
      <c r="O18" s="245">
        <f t="shared" si="2"/>
        <v>0</v>
      </c>
      <c r="P18" s="247">
        <f t="shared" si="0"/>
        <v>0</v>
      </c>
    </row>
    <row r="19" spans="1:16" ht="15.75" customHeight="1">
      <c r="A19" s="365">
        <v>2115574</v>
      </c>
      <c r="B19" s="367" t="s">
        <v>89</v>
      </c>
      <c r="C19" s="242"/>
      <c r="D19" s="242"/>
      <c r="E19" s="242"/>
      <c r="F19" s="243">
        <f t="shared" si="3"/>
        <v>0</v>
      </c>
      <c r="G19" s="523">
        <f>SUM(I19*0.6)</f>
        <v>65.994</v>
      </c>
      <c r="H19" s="245">
        <f>G19*(1-'Dealer Inputs'!$H$22)*(1-'Dealer Inputs'!$L$22)</f>
        <v>49.4955</v>
      </c>
      <c r="I19" s="262">
        <v>109.99</v>
      </c>
      <c r="J19" s="245">
        <f t="shared" si="4"/>
        <v>0</v>
      </c>
      <c r="K19" s="245">
        <f t="shared" si="5"/>
        <v>0</v>
      </c>
      <c r="L19" s="245">
        <f t="shared" si="6"/>
        <v>0</v>
      </c>
      <c r="M19" s="245">
        <f t="shared" si="7"/>
        <v>0</v>
      </c>
      <c r="N19" s="245">
        <f t="shared" si="2"/>
        <v>0</v>
      </c>
      <c r="O19" s="245">
        <f t="shared" si="2"/>
        <v>0</v>
      </c>
      <c r="P19" s="247">
        <f t="shared" si="0"/>
        <v>0</v>
      </c>
    </row>
    <row r="20" spans="1:16" ht="12.75">
      <c r="A20" s="363">
        <v>2115573</v>
      </c>
      <c r="B20" s="364" t="s">
        <v>377</v>
      </c>
      <c r="C20" s="242"/>
      <c r="D20" s="242"/>
      <c r="E20" s="242"/>
      <c r="F20" s="243">
        <f t="shared" si="3"/>
        <v>0</v>
      </c>
      <c r="G20" s="523">
        <f t="shared" si="8"/>
        <v>59.99399999999999</v>
      </c>
      <c r="H20" s="245">
        <f>G20*(1-'Dealer Inputs'!$H$22)*(1-'Dealer Inputs'!$L$22)</f>
        <v>44.99549999999999</v>
      </c>
      <c r="I20" s="262">
        <v>99.99</v>
      </c>
      <c r="J20" s="245"/>
      <c r="K20" s="245"/>
      <c r="L20" s="245"/>
      <c r="M20" s="245"/>
      <c r="N20" s="245"/>
      <c r="O20" s="245"/>
      <c r="P20" s="247">
        <f t="shared" si="0"/>
        <v>0</v>
      </c>
    </row>
    <row r="21" spans="1:16" ht="14.25" customHeight="1">
      <c r="A21" s="365">
        <v>2115572</v>
      </c>
      <c r="B21" s="367" t="s">
        <v>376</v>
      </c>
      <c r="C21" s="242"/>
      <c r="D21" s="242"/>
      <c r="E21" s="242"/>
      <c r="F21" s="243">
        <f t="shared" si="3"/>
        <v>0</v>
      </c>
      <c r="G21" s="523">
        <f t="shared" si="8"/>
        <v>53.99399999999999</v>
      </c>
      <c r="H21" s="245">
        <f>G21*(1-'Dealer Inputs'!$H$22)*(1-'Dealer Inputs'!$L$22)</f>
        <v>40.49549999999999</v>
      </c>
      <c r="I21" s="262">
        <v>89.99</v>
      </c>
      <c r="J21" s="245">
        <f t="shared" si="4"/>
        <v>0</v>
      </c>
      <c r="K21" s="245">
        <f t="shared" si="5"/>
        <v>0</v>
      </c>
      <c r="L21" s="245">
        <f t="shared" si="6"/>
        <v>0</v>
      </c>
      <c r="M21" s="245">
        <f t="shared" si="7"/>
        <v>0</v>
      </c>
      <c r="N21" s="245">
        <f aca="true" t="shared" si="9" ref="N21:N32">SUM(D21*$H21)</f>
        <v>0</v>
      </c>
      <c r="O21" s="245">
        <f aca="true" t="shared" si="10" ref="O21:O32">SUM(E21*$H21)</f>
        <v>0</v>
      </c>
      <c r="P21" s="247">
        <f t="shared" si="0"/>
        <v>0</v>
      </c>
    </row>
    <row r="22" spans="1:16" ht="14.25" customHeight="1">
      <c r="A22" s="365">
        <v>2115566</v>
      </c>
      <c r="B22" s="367" t="s">
        <v>372</v>
      </c>
      <c r="C22" s="242"/>
      <c r="D22" s="242"/>
      <c r="E22" s="242"/>
      <c r="F22" s="243">
        <f t="shared" si="3"/>
        <v>0</v>
      </c>
      <c r="G22" s="523">
        <f t="shared" si="8"/>
        <v>11.993999999999998</v>
      </c>
      <c r="H22" s="245">
        <f>G22*(1-'Dealer Inputs'!$H$22)*(1-'Dealer Inputs'!$L$22)</f>
        <v>8.995499999999998</v>
      </c>
      <c r="I22" s="262">
        <v>19.99</v>
      </c>
      <c r="J22" s="245">
        <f t="shared" si="4"/>
        <v>0</v>
      </c>
      <c r="K22" s="245">
        <f t="shared" si="5"/>
        <v>0</v>
      </c>
      <c r="L22" s="245">
        <f t="shared" si="6"/>
        <v>0</v>
      </c>
      <c r="M22" s="245">
        <f t="shared" si="7"/>
        <v>0</v>
      </c>
      <c r="N22" s="245">
        <f t="shared" si="9"/>
        <v>0</v>
      </c>
      <c r="O22" s="245">
        <f t="shared" si="10"/>
        <v>0</v>
      </c>
      <c r="P22" s="247">
        <f t="shared" si="0"/>
        <v>0</v>
      </c>
    </row>
    <row r="23" spans="1:16" ht="15.75" customHeight="1">
      <c r="A23" s="363">
        <v>2115567</v>
      </c>
      <c r="B23" s="364" t="s">
        <v>373</v>
      </c>
      <c r="C23" s="242"/>
      <c r="D23" s="242"/>
      <c r="E23" s="242"/>
      <c r="F23" s="243">
        <f t="shared" si="3"/>
        <v>0</v>
      </c>
      <c r="G23" s="523">
        <f t="shared" si="8"/>
        <v>11.993999999999998</v>
      </c>
      <c r="H23" s="245">
        <f>G23*(1-'Dealer Inputs'!$H$22)*(1-'Dealer Inputs'!$L$22)</f>
        <v>8.995499999999998</v>
      </c>
      <c r="I23" s="262">
        <v>19.99</v>
      </c>
      <c r="J23" s="245">
        <f t="shared" si="4"/>
        <v>0</v>
      </c>
      <c r="K23" s="245">
        <f t="shared" si="5"/>
        <v>0</v>
      </c>
      <c r="L23" s="245">
        <f t="shared" si="6"/>
        <v>0</v>
      </c>
      <c r="M23" s="245">
        <f t="shared" si="7"/>
        <v>0</v>
      </c>
      <c r="N23" s="245">
        <f t="shared" si="9"/>
        <v>0</v>
      </c>
      <c r="O23" s="245">
        <f t="shared" si="10"/>
        <v>0</v>
      </c>
      <c r="P23" s="247">
        <f t="shared" si="0"/>
        <v>0</v>
      </c>
    </row>
    <row r="24" spans="1:16" ht="15" customHeight="1">
      <c r="A24" s="365">
        <v>2125577</v>
      </c>
      <c r="B24" s="366" t="s">
        <v>366</v>
      </c>
      <c r="C24" s="242"/>
      <c r="D24" s="242"/>
      <c r="E24" s="242"/>
      <c r="F24" s="243">
        <f t="shared" si="3"/>
        <v>0</v>
      </c>
      <c r="G24" s="523">
        <f t="shared" si="8"/>
        <v>47.99399999999999</v>
      </c>
      <c r="H24" s="245">
        <f>G24*(1-'Dealer Inputs'!$H$22)*(1-'Dealer Inputs'!$L$22)</f>
        <v>35.99549999999999</v>
      </c>
      <c r="I24" s="262">
        <v>79.99</v>
      </c>
      <c r="J24" s="245">
        <f t="shared" si="4"/>
        <v>0</v>
      </c>
      <c r="K24" s="245">
        <f t="shared" si="5"/>
        <v>0</v>
      </c>
      <c r="L24" s="245">
        <f t="shared" si="6"/>
        <v>0</v>
      </c>
      <c r="M24" s="245">
        <f t="shared" si="7"/>
        <v>0</v>
      </c>
      <c r="N24" s="245">
        <f t="shared" si="9"/>
        <v>0</v>
      </c>
      <c r="O24" s="245">
        <f t="shared" si="10"/>
        <v>0</v>
      </c>
      <c r="P24" s="247">
        <f t="shared" si="0"/>
        <v>0</v>
      </c>
    </row>
    <row r="25" spans="1:16" ht="12.75" customHeight="1">
      <c r="A25" s="365">
        <v>2125576</v>
      </c>
      <c r="B25" s="366" t="s">
        <v>367</v>
      </c>
      <c r="C25" s="242"/>
      <c r="D25" s="242"/>
      <c r="E25" s="242"/>
      <c r="F25" s="243">
        <f t="shared" si="3"/>
        <v>0</v>
      </c>
      <c r="G25" s="523">
        <f t="shared" si="8"/>
        <v>41.99399999999999</v>
      </c>
      <c r="H25" s="245">
        <f>G25*(1-'Dealer Inputs'!$H$22)*(1-'Dealer Inputs'!$L$22)</f>
        <v>31.495499999999993</v>
      </c>
      <c r="I25" s="262">
        <v>69.99</v>
      </c>
      <c r="J25" s="245">
        <f t="shared" si="4"/>
        <v>0</v>
      </c>
      <c r="K25" s="245">
        <f t="shared" si="5"/>
        <v>0</v>
      </c>
      <c r="L25" s="245">
        <f t="shared" si="6"/>
        <v>0</v>
      </c>
      <c r="M25" s="245">
        <f t="shared" si="7"/>
        <v>0</v>
      </c>
      <c r="N25" s="245">
        <f t="shared" si="9"/>
        <v>0</v>
      </c>
      <c r="O25" s="245">
        <f t="shared" si="10"/>
        <v>0</v>
      </c>
      <c r="P25" s="247">
        <f t="shared" si="0"/>
        <v>0</v>
      </c>
    </row>
    <row r="26" spans="1:16" ht="15" customHeight="1">
      <c r="A26" s="363">
        <v>2115571</v>
      </c>
      <c r="B26" s="364" t="s">
        <v>375</v>
      </c>
      <c r="C26" s="242"/>
      <c r="D26" s="242"/>
      <c r="E26" s="242"/>
      <c r="F26" s="243">
        <f t="shared" si="3"/>
        <v>0</v>
      </c>
      <c r="G26" s="523">
        <f t="shared" si="8"/>
        <v>35.994</v>
      </c>
      <c r="H26" s="245">
        <f>G26*(1-'Dealer Inputs'!$H$22)*(1-'Dealer Inputs'!$L$22)</f>
        <v>26.9955</v>
      </c>
      <c r="I26" s="262">
        <v>59.99</v>
      </c>
      <c r="J26" s="245">
        <f t="shared" si="4"/>
        <v>0</v>
      </c>
      <c r="K26" s="245">
        <f t="shared" si="5"/>
        <v>0</v>
      </c>
      <c r="L26" s="245">
        <f t="shared" si="6"/>
        <v>0</v>
      </c>
      <c r="M26" s="245">
        <f t="shared" si="7"/>
        <v>0</v>
      </c>
      <c r="N26" s="245">
        <f t="shared" si="9"/>
        <v>0</v>
      </c>
      <c r="O26" s="245">
        <f t="shared" si="10"/>
        <v>0</v>
      </c>
      <c r="P26" s="247">
        <f t="shared" si="0"/>
        <v>0</v>
      </c>
    </row>
    <row r="27" spans="1:16" ht="14.25" customHeight="1">
      <c r="A27" s="363">
        <v>2125575</v>
      </c>
      <c r="B27" s="366" t="s">
        <v>368</v>
      </c>
      <c r="C27" s="242"/>
      <c r="D27" s="242"/>
      <c r="E27" s="242"/>
      <c r="F27" s="243">
        <f t="shared" si="3"/>
        <v>0</v>
      </c>
      <c r="G27" s="523">
        <f t="shared" si="8"/>
        <v>23.994</v>
      </c>
      <c r="H27" s="245">
        <f>G27*(1-'Dealer Inputs'!$H$22)*(1-'Dealer Inputs'!$L$22)</f>
        <v>17.9955</v>
      </c>
      <c r="I27" s="262">
        <v>39.99</v>
      </c>
      <c r="J27" s="245">
        <f t="shared" si="4"/>
        <v>0</v>
      </c>
      <c r="K27" s="245">
        <f t="shared" si="5"/>
        <v>0</v>
      </c>
      <c r="L27" s="245">
        <f t="shared" si="6"/>
        <v>0</v>
      </c>
      <c r="M27" s="245">
        <f t="shared" si="7"/>
        <v>0</v>
      </c>
      <c r="N27" s="245">
        <f t="shared" si="9"/>
        <v>0</v>
      </c>
      <c r="O27" s="245">
        <f t="shared" si="10"/>
        <v>0</v>
      </c>
      <c r="P27" s="247">
        <f t="shared" si="0"/>
        <v>0</v>
      </c>
    </row>
    <row r="28" spans="1:16" ht="14.25" customHeight="1">
      <c r="A28" s="365">
        <v>2115570</v>
      </c>
      <c r="B28" s="367" t="s">
        <v>374</v>
      </c>
      <c r="C28" s="242"/>
      <c r="D28" s="242"/>
      <c r="E28" s="242"/>
      <c r="F28" s="243">
        <f t="shared" si="3"/>
        <v>0</v>
      </c>
      <c r="G28" s="523">
        <f t="shared" si="8"/>
        <v>35.994</v>
      </c>
      <c r="H28" s="245">
        <f>G28*(1-'Dealer Inputs'!$H$22)*(1-'Dealer Inputs'!$L$22)</f>
        <v>26.9955</v>
      </c>
      <c r="I28" s="262">
        <v>59.99</v>
      </c>
      <c r="J28" s="245">
        <f t="shared" si="4"/>
        <v>0</v>
      </c>
      <c r="K28" s="245">
        <f t="shared" si="5"/>
        <v>0</v>
      </c>
      <c r="L28" s="245">
        <f t="shared" si="6"/>
        <v>0</v>
      </c>
      <c r="M28" s="245">
        <f t="shared" si="7"/>
        <v>0</v>
      </c>
      <c r="N28" s="245">
        <f t="shared" si="9"/>
        <v>0</v>
      </c>
      <c r="O28" s="245">
        <f t="shared" si="10"/>
        <v>0</v>
      </c>
      <c r="P28" s="247">
        <f t="shared" si="0"/>
        <v>0</v>
      </c>
    </row>
    <row r="29" spans="1:16" ht="9" customHeight="1">
      <c r="A29" s="353"/>
      <c r="B29" s="353"/>
      <c r="C29" s="353"/>
      <c r="D29" s="353"/>
      <c r="E29" s="353"/>
      <c r="F29" s="353"/>
      <c r="G29" s="541"/>
      <c r="H29" s="353"/>
      <c r="I29" s="353"/>
      <c r="J29" s="353"/>
      <c r="K29" s="353"/>
      <c r="L29" s="353"/>
      <c r="M29" s="353"/>
      <c r="N29" s="353"/>
      <c r="O29" s="353"/>
      <c r="P29" s="353"/>
    </row>
    <row r="30" spans="1:16" ht="13.5" customHeight="1">
      <c r="A30" s="363">
        <v>2115569</v>
      </c>
      <c r="B30" s="364" t="s">
        <v>90</v>
      </c>
      <c r="C30" s="242"/>
      <c r="D30" s="242"/>
      <c r="E30" s="242"/>
      <c r="F30" s="243">
        <f t="shared" si="3"/>
        <v>0</v>
      </c>
      <c r="G30" s="523">
        <f>SUM(I30*0.6)</f>
        <v>23.994</v>
      </c>
      <c r="H30" s="245">
        <f>G30*(1-'Dealer Inputs'!$H$22)*(1-'Dealer Inputs'!$L$22)</f>
        <v>17.9955</v>
      </c>
      <c r="I30" s="262">
        <v>39.99</v>
      </c>
      <c r="J30" s="245">
        <f t="shared" si="4"/>
        <v>0</v>
      </c>
      <c r="K30" s="245">
        <f t="shared" si="5"/>
        <v>0</v>
      </c>
      <c r="L30" s="245">
        <f t="shared" si="6"/>
        <v>0</v>
      </c>
      <c r="M30" s="245">
        <f t="shared" si="7"/>
        <v>0</v>
      </c>
      <c r="N30" s="245">
        <f t="shared" si="9"/>
        <v>0</v>
      </c>
      <c r="O30" s="245">
        <f t="shared" si="10"/>
        <v>0</v>
      </c>
      <c r="P30" s="247">
        <f t="shared" si="0"/>
        <v>0</v>
      </c>
    </row>
    <row r="31" spans="1:16" ht="14.25" customHeight="1">
      <c r="A31" s="365">
        <v>2115568</v>
      </c>
      <c r="B31" s="367" t="s">
        <v>91</v>
      </c>
      <c r="C31" s="242"/>
      <c r="D31" s="242"/>
      <c r="E31" s="242"/>
      <c r="F31" s="243">
        <f t="shared" si="3"/>
        <v>0</v>
      </c>
      <c r="G31" s="523">
        <f>SUM(I31*0.6)</f>
        <v>11.993999999999998</v>
      </c>
      <c r="H31" s="245">
        <f>G31*(1-'Dealer Inputs'!$H$22)*(1-'Dealer Inputs'!$L$22)</f>
        <v>8.995499999999998</v>
      </c>
      <c r="I31" s="262">
        <v>19.99</v>
      </c>
      <c r="J31" s="245">
        <f t="shared" si="4"/>
        <v>0</v>
      </c>
      <c r="K31" s="245">
        <f t="shared" si="5"/>
        <v>0</v>
      </c>
      <c r="L31" s="245">
        <f t="shared" si="6"/>
        <v>0</v>
      </c>
      <c r="M31" s="245">
        <f t="shared" si="7"/>
        <v>0</v>
      </c>
      <c r="N31" s="245">
        <f t="shared" si="9"/>
        <v>0</v>
      </c>
      <c r="O31" s="245">
        <f t="shared" si="10"/>
        <v>0</v>
      </c>
      <c r="P31" s="247">
        <f t="shared" si="0"/>
        <v>0</v>
      </c>
    </row>
    <row r="32" spans="1:16" ht="12" customHeight="1">
      <c r="A32" s="363">
        <v>2115565</v>
      </c>
      <c r="B32" s="364" t="s">
        <v>92</v>
      </c>
      <c r="C32" s="272"/>
      <c r="D32" s="242"/>
      <c r="E32" s="242"/>
      <c r="F32" s="243">
        <f t="shared" si="3"/>
        <v>0</v>
      </c>
      <c r="G32" s="523">
        <f>SUM(I32*0.6)</f>
        <v>8.994</v>
      </c>
      <c r="H32" s="245">
        <f>G32*(1-'Dealer Inputs'!$H$22)*(1-'Dealer Inputs'!$L$22)</f>
        <v>6.7455</v>
      </c>
      <c r="I32" s="262">
        <v>14.99</v>
      </c>
      <c r="J32" s="273">
        <f t="shared" si="4"/>
        <v>0</v>
      </c>
      <c r="K32" s="273">
        <f t="shared" si="5"/>
        <v>0</v>
      </c>
      <c r="L32" s="273">
        <f t="shared" si="6"/>
        <v>0</v>
      </c>
      <c r="M32" s="273">
        <f t="shared" si="7"/>
        <v>0</v>
      </c>
      <c r="N32" s="273">
        <f t="shared" si="9"/>
        <v>0</v>
      </c>
      <c r="O32" s="273">
        <f t="shared" si="10"/>
        <v>0</v>
      </c>
      <c r="P32" s="274">
        <f t="shared" si="0"/>
        <v>0</v>
      </c>
    </row>
    <row r="33" spans="1:16" ht="12" customHeight="1">
      <c r="A33" s="56"/>
      <c r="B33" s="57"/>
      <c r="C33" s="65"/>
      <c r="D33" s="65"/>
      <c r="E33" s="65"/>
      <c r="F33" s="61"/>
      <c r="G33" s="542"/>
      <c r="H33" s="62"/>
      <c r="I33" s="63"/>
      <c r="J33" s="62"/>
      <c r="K33" s="62"/>
      <c r="L33" s="62"/>
      <c r="M33" s="62"/>
      <c r="N33" s="62"/>
      <c r="O33" s="62"/>
      <c r="P33" s="64"/>
    </row>
    <row r="34" spans="1:16" ht="13.5" customHeight="1">
      <c r="A34" s="58"/>
      <c r="B34" s="57"/>
      <c r="C34" s="65"/>
      <c r="D34" s="65"/>
      <c r="E34" s="65"/>
      <c r="F34" s="61"/>
      <c r="G34" s="542"/>
      <c r="H34" s="62"/>
      <c r="I34" s="63"/>
      <c r="J34" s="62"/>
      <c r="K34" s="62"/>
      <c r="L34" s="62"/>
      <c r="M34" s="62"/>
      <c r="N34" s="62"/>
      <c r="O34" s="62"/>
      <c r="P34" s="64"/>
    </row>
    <row r="35" spans="1:16" ht="12.75">
      <c r="A35" s="56"/>
      <c r="B35" s="57"/>
      <c r="C35" s="65"/>
      <c r="D35" s="65"/>
      <c r="E35" s="65"/>
      <c r="F35" s="61"/>
      <c r="G35" s="542"/>
      <c r="H35" s="62"/>
      <c r="I35" s="63"/>
      <c r="J35" s="62"/>
      <c r="K35" s="62"/>
      <c r="L35" s="62"/>
      <c r="M35" s="62"/>
      <c r="N35" s="62"/>
      <c r="O35" s="62"/>
      <c r="P35" s="64"/>
    </row>
    <row r="36" spans="1:16" ht="12.75">
      <c r="A36" s="58"/>
      <c r="B36" s="57"/>
      <c r="C36" s="65"/>
      <c r="D36" s="65"/>
      <c r="E36" s="65"/>
      <c r="F36" s="61"/>
      <c r="G36" s="542"/>
      <c r="H36" s="62"/>
      <c r="I36" s="63"/>
      <c r="J36" s="62"/>
      <c r="K36" s="62"/>
      <c r="L36" s="62"/>
      <c r="M36" s="62"/>
      <c r="N36" s="62"/>
      <c r="O36" s="62"/>
      <c r="P36" s="64"/>
    </row>
    <row r="37" spans="1:16" ht="12" customHeight="1">
      <c r="A37" s="56"/>
      <c r="B37" s="57"/>
      <c r="C37" s="65"/>
      <c r="D37" s="65"/>
      <c r="E37" s="65"/>
      <c r="F37" s="61"/>
      <c r="G37" s="542"/>
      <c r="H37" s="62"/>
      <c r="I37" s="63"/>
      <c r="J37" s="62"/>
      <c r="K37" s="62"/>
      <c r="L37" s="62"/>
      <c r="M37" s="62"/>
      <c r="N37" s="62"/>
      <c r="O37" s="62"/>
      <c r="P37" s="64"/>
    </row>
    <row r="38" spans="1:16" ht="12.75">
      <c r="A38" s="58"/>
      <c r="B38" s="57"/>
      <c r="C38" s="65"/>
      <c r="D38" s="65"/>
      <c r="E38" s="65"/>
      <c r="F38" s="61"/>
      <c r="G38" s="542"/>
      <c r="H38" s="62"/>
      <c r="I38" s="63"/>
      <c r="J38" s="62"/>
      <c r="K38" s="62"/>
      <c r="L38" s="62"/>
      <c r="M38" s="62"/>
      <c r="N38" s="62"/>
      <c r="O38" s="62"/>
      <c r="P38" s="64"/>
    </row>
    <row r="39" spans="1:16" ht="12.75">
      <c r="A39" s="56"/>
      <c r="B39" s="57"/>
      <c r="C39" s="65"/>
      <c r="D39" s="65"/>
      <c r="E39" s="65"/>
      <c r="F39" s="61"/>
      <c r="G39" s="542"/>
      <c r="H39" s="62"/>
      <c r="I39" s="63"/>
      <c r="J39" s="62"/>
      <c r="K39" s="62"/>
      <c r="L39" s="62"/>
      <c r="M39" s="62"/>
      <c r="N39" s="62"/>
      <c r="O39" s="62"/>
      <c r="P39" s="64"/>
    </row>
    <row r="40" spans="1:16" ht="12.75">
      <c r="A40" s="58"/>
      <c r="B40" s="57"/>
      <c r="C40" s="65"/>
      <c r="D40" s="65"/>
      <c r="E40" s="65"/>
      <c r="F40" s="61"/>
      <c r="G40" s="542"/>
      <c r="H40" s="62"/>
      <c r="I40" s="63"/>
      <c r="J40" s="62"/>
      <c r="K40" s="62"/>
      <c r="L40" s="62"/>
      <c r="M40" s="62"/>
      <c r="N40" s="62"/>
      <c r="O40" s="62"/>
      <c r="P40" s="64"/>
    </row>
    <row r="41" spans="1:16" ht="12.75">
      <c r="A41" s="56"/>
      <c r="B41" s="57"/>
      <c r="C41" s="9"/>
      <c r="D41" s="9"/>
      <c r="E41" s="9"/>
      <c r="F41" s="9"/>
      <c r="G41" s="543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58"/>
      <c r="B42" s="57"/>
      <c r="C42" s="9"/>
      <c r="D42" s="9"/>
      <c r="E42" s="9"/>
      <c r="F42" s="9"/>
      <c r="G42" s="543"/>
      <c r="H42" s="9"/>
      <c r="I42" s="9"/>
      <c r="J42" s="9"/>
      <c r="K42" s="9"/>
      <c r="L42" s="9"/>
      <c r="M42" s="9"/>
      <c r="N42" s="9"/>
      <c r="O42" s="9"/>
      <c r="P42" s="9"/>
    </row>
    <row r="45" ht="8.25" customHeight="1"/>
    <row r="56" ht="7.5" customHeight="1"/>
    <row r="63" ht="7.5" customHeight="1"/>
    <row r="76" ht="4.5" customHeight="1">
      <c r="Q76" s="34"/>
    </row>
    <row r="77" ht="17.25" customHeight="1">
      <c r="Q77" s="34"/>
    </row>
    <row r="78" ht="12.75">
      <c r="Q78" s="34"/>
    </row>
    <row r="79" ht="12" customHeight="1">
      <c r="Q79" s="34"/>
    </row>
    <row r="80" ht="14.25" customHeight="1">
      <c r="Q80" s="34"/>
    </row>
    <row r="81" ht="12" customHeight="1">
      <c r="Q81" s="34"/>
    </row>
    <row r="82" ht="12.75">
      <c r="Q82" s="34"/>
    </row>
    <row r="83" ht="7.5" customHeight="1">
      <c r="Q83" s="34"/>
    </row>
    <row r="84" ht="12.75" customHeight="1">
      <c r="Q84" s="34"/>
    </row>
    <row r="85" ht="15" customHeight="1">
      <c r="Q85" s="34"/>
    </row>
    <row r="86" ht="12.75">
      <c r="Q86" s="34"/>
    </row>
    <row r="87" ht="15" customHeight="1">
      <c r="Q87" s="34"/>
    </row>
    <row r="88" ht="7.5" customHeight="1">
      <c r="Q88" s="34"/>
    </row>
    <row r="89" ht="12.75" customHeight="1">
      <c r="Q89" s="34"/>
    </row>
    <row r="90" ht="12.75">
      <c r="Q90" s="34"/>
    </row>
    <row r="91" ht="12.75">
      <c r="Q91" s="34"/>
    </row>
    <row r="92" ht="12.75">
      <c r="Q92" s="34"/>
    </row>
    <row r="93" ht="12.75">
      <c r="Q93" s="34"/>
    </row>
    <row r="94" ht="12.75">
      <c r="Q94" s="34"/>
    </row>
    <row r="95" ht="12.75">
      <c r="Q95" s="34"/>
    </row>
    <row r="96" ht="12" customHeight="1">
      <c r="Q96" s="34"/>
    </row>
    <row r="97" ht="12" customHeight="1">
      <c r="Q97" s="34"/>
    </row>
    <row r="98" ht="12.75">
      <c r="Q98" s="34"/>
    </row>
    <row r="99" ht="12.75">
      <c r="Q99" s="34"/>
    </row>
    <row r="100" ht="12.75">
      <c r="Q100" s="34"/>
    </row>
    <row r="101" ht="12.75">
      <c r="Q101" s="34"/>
    </row>
    <row r="102" ht="12.75">
      <c r="Q102" s="34"/>
    </row>
    <row r="103" ht="12.75">
      <c r="Q103" s="34"/>
    </row>
    <row r="104" ht="12.75">
      <c r="Q104" s="34"/>
    </row>
    <row r="105" ht="12.75">
      <c r="Q105" s="34"/>
    </row>
    <row r="106" ht="12.75">
      <c r="Q106" s="34"/>
    </row>
    <row r="107" ht="12.75">
      <c r="Q107" s="34"/>
    </row>
  </sheetData>
  <sheetProtection/>
  <mergeCells count="1">
    <mergeCell ref="A2:P2"/>
  </mergeCells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N2" sqref="N2"/>
    </sheetView>
  </sheetViews>
  <sheetFormatPr defaultColWidth="8.8515625" defaultRowHeight="12.75"/>
  <cols>
    <col min="1" max="1" width="9.421875" style="0" bestFit="1" customWidth="1"/>
    <col min="2" max="2" width="27.28125" style="0" customWidth="1"/>
    <col min="3" max="3" width="7.140625" style="0" customWidth="1"/>
    <col min="4" max="4" width="7.421875" style="0" customWidth="1"/>
    <col min="5" max="5" width="6.8515625" style="0" customWidth="1"/>
    <col min="6" max="6" width="9.421875" style="0" customWidth="1"/>
    <col min="7" max="7" width="10.421875" style="0" bestFit="1" customWidth="1"/>
    <col min="8" max="8" width="11.00390625" style="0" customWidth="1"/>
    <col min="9" max="9" width="9.140625" style="0" customWidth="1"/>
    <col min="10" max="10" width="0.13671875" style="0" customWidth="1"/>
    <col min="11" max="11" width="10.8515625" style="0" bestFit="1" customWidth="1"/>
  </cols>
  <sheetData>
    <row r="1" spans="1:11" ht="14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4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26.25" customHeight="1">
      <c r="A3" s="712" t="s">
        <v>331</v>
      </c>
      <c r="B3" s="713"/>
      <c r="C3" s="713"/>
      <c r="D3" s="713"/>
      <c r="E3" s="713"/>
      <c r="F3" s="713"/>
      <c r="G3" s="713"/>
      <c r="H3" s="713"/>
      <c r="I3" s="713"/>
      <c r="J3" s="713"/>
      <c r="K3" s="714"/>
    </row>
    <row r="4" spans="1:11" ht="8.25" customHeight="1">
      <c r="A4" s="41"/>
      <c r="B4" s="42"/>
      <c r="C4" s="43"/>
      <c r="D4" s="43"/>
      <c r="E4" s="43"/>
      <c r="F4" s="44"/>
      <c r="G4" s="44"/>
      <c r="H4" s="44"/>
      <c r="I4" s="45"/>
      <c r="J4" s="45"/>
      <c r="K4" s="40"/>
    </row>
    <row r="5" spans="1:13" ht="13.5" thickBot="1">
      <c r="A5" s="20" t="s">
        <v>315</v>
      </c>
      <c r="B5" s="21" t="s">
        <v>316</v>
      </c>
      <c r="C5" s="22" t="s">
        <v>342</v>
      </c>
      <c r="D5" s="22" t="s">
        <v>343</v>
      </c>
      <c r="E5" s="22" t="s">
        <v>344</v>
      </c>
      <c r="F5" s="23" t="s">
        <v>345</v>
      </c>
      <c r="G5" s="24" t="s">
        <v>477</v>
      </c>
      <c r="H5" s="24" t="s">
        <v>473</v>
      </c>
      <c r="I5" s="25" t="s">
        <v>317</v>
      </c>
      <c r="J5" s="32"/>
      <c r="K5" s="26" t="s">
        <v>318</v>
      </c>
      <c r="L5" s="51"/>
      <c r="M5" s="51"/>
    </row>
    <row r="6" spans="1:11" ht="18.75">
      <c r="A6" s="46" t="s">
        <v>402</v>
      </c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1:11" ht="15.75" customHeight="1">
      <c r="A7" s="54">
        <v>2115672</v>
      </c>
      <c r="B7" s="53" t="s">
        <v>404</v>
      </c>
      <c r="C7" s="35"/>
      <c r="D7" s="35"/>
      <c r="E7" s="35"/>
      <c r="F7" s="50">
        <f>SUM(C7:E7)</f>
        <v>0</v>
      </c>
      <c r="G7" s="28">
        <f aca="true" t="shared" si="0" ref="G7:G58">SUM(I7*0.5)</f>
        <v>34.995</v>
      </c>
      <c r="H7" s="29">
        <f>G7*(1-'Dealer Inputs'!$D$22)*(1-'Dealer Inputs'!$H$22)</f>
        <v>34.995</v>
      </c>
      <c r="I7" s="30">
        <v>69.99</v>
      </c>
      <c r="J7" s="33">
        <f aca="true" t="shared" si="1" ref="J7:J58">SUM(F7*G7)</f>
        <v>0</v>
      </c>
      <c r="K7" s="31">
        <f aca="true" t="shared" si="2" ref="K7:K58">H7*F7</f>
        <v>0</v>
      </c>
    </row>
    <row r="8" spans="1:11" ht="12.75">
      <c r="A8" s="59">
        <v>2115673</v>
      </c>
      <c r="B8" s="53" t="s">
        <v>405</v>
      </c>
      <c r="C8" s="35"/>
      <c r="D8" s="35"/>
      <c r="E8" s="35"/>
      <c r="F8" s="50">
        <f aca="true" t="shared" si="3" ref="F8:F16">SUM(C8:E8)</f>
        <v>0</v>
      </c>
      <c r="G8" s="28">
        <f t="shared" si="0"/>
        <v>34.995</v>
      </c>
      <c r="H8" s="29">
        <f>G8*(1-'Dealer Inputs'!$D$22)*(1-'Dealer Inputs'!$H$22)</f>
        <v>34.995</v>
      </c>
      <c r="I8" s="30">
        <v>69.99</v>
      </c>
      <c r="J8" s="33">
        <f t="shared" si="1"/>
        <v>0</v>
      </c>
      <c r="K8" s="31">
        <f t="shared" si="2"/>
        <v>0</v>
      </c>
    </row>
    <row r="9" spans="1:11" ht="13.5" customHeight="1">
      <c r="A9" s="54">
        <v>2115674</v>
      </c>
      <c r="B9" s="53" t="s">
        <v>406</v>
      </c>
      <c r="C9" s="35"/>
      <c r="D9" s="35"/>
      <c r="E9" s="35"/>
      <c r="F9" s="50">
        <f t="shared" si="3"/>
        <v>0</v>
      </c>
      <c r="G9" s="28">
        <f t="shared" si="0"/>
        <v>34.995</v>
      </c>
      <c r="H9" s="29">
        <f>G9*(1-'Dealer Inputs'!$D$22)*(1-'Dealer Inputs'!$H$22)</f>
        <v>34.995</v>
      </c>
      <c r="I9" s="30">
        <v>69.99</v>
      </c>
      <c r="J9" s="33">
        <f t="shared" si="1"/>
        <v>0</v>
      </c>
      <c r="K9" s="31">
        <f t="shared" si="2"/>
        <v>0</v>
      </c>
    </row>
    <row r="10" spans="1:11" ht="12.75">
      <c r="A10" s="59">
        <v>2115675</v>
      </c>
      <c r="B10" s="53" t="s">
        <v>407</v>
      </c>
      <c r="C10" s="35"/>
      <c r="D10" s="35"/>
      <c r="E10" s="35"/>
      <c r="F10" s="50">
        <f t="shared" si="3"/>
        <v>0</v>
      </c>
      <c r="G10" s="28">
        <f t="shared" si="0"/>
        <v>34.995</v>
      </c>
      <c r="H10" s="29">
        <f>G10*(1-'Dealer Inputs'!$D$22)*(1-'Dealer Inputs'!$H$22)</f>
        <v>34.995</v>
      </c>
      <c r="I10" s="30">
        <v>69.99</v>
      </c>
      <c r="J10" s="33">
        <f t="shared" si="1"/>
        <v>0</v>
      </c>
      <c r="K10" s="31">
        <f t="shared" si="2"/>
        <v>0</v>
      </c>
    </row>
    <row r="11" spans="1:11" ht="12.75">
      <c r="A11" s="54">
        <v>2115676</v>
      </c>
      <c r="B11" s="53" t="s">
        <v>408</v>
      </c>
      <c r="C11" s="35"/>
      <c r="D11" s="35"/>
      <c r="E11" s="35"/>
      <c r="F11" s="50">
        <f t="shared" si="3"/>
        <v>0</v>
      </c>
      <c r="G11" s="28">
        <f t="shared" si="0"/>
        <v>34.995</v>
      </c>
      <c r="H11" s="29">
        <f>G11*(1-'Dealer Inputs'!$D$22)*(1-'Dealer Inputs'!$H$22)</f>
        <v>34.995</v>
      </c>
      <c r="I11" s="30">
        <v>69.99</v>
      </c>
      <c r="J11" s="33">
        <f t="shared" si="1"/>
        <v>0</v>
      </c>
      <c r="K11" s="31">
        <f t="shared" si="2"/>
        <v>0</v>
      </c>
    </row>
    <row r="12" spans="1:11" ht="12.75">
      <c r="A12" s="59">
        <v>2115677</v>
      </c>
      <c r="B12" s="53" t="s">
        <v>242</v>
      </c>
      <c r="C12" s="35"/>
      <c r="D12" s="35"/>
      <c r="E12" s="35"/>
      <c r="F12" s="50"/>
      <c r="G12" s="28"/>
      <c r="H12" s="29"/>
      <c r="I12" s="30"/>
      <c r="J12" s="33"/>
      <c r="K12" s="31"/>
    </row>
    <row r="13" spans="1:11" ht="13.5" customHeight="1">
      <c r="A13" s="54">
        <v>2115678</v>
      </c>
      <c r="B13" s="53" t="s">
        <v>243</v>
      </c>
      <c r="C13" s="35"/>
      <c r="D13" s="35"/>
      <c r="E13" s="35"/>
      <c r="F13" s="50">
        <f t="shared" si="3"/>
        <v>0</v>
      </c>
      <c r="G13" s="28">
        <f t="shared" si="0"/>
        <v>34.995</v>
      </c>
      <c r="H13" s="29">
        <f>G13*(1-'Dealer Inputs'!$D$22)*(1-'Dealer Inputs'!$H$22)</f>
        <v>34.995</v>
      </c>
      <c r="I13" s="30">
        <v>69.99</v>
      </c>
      <c r="J13" s="33">
        <f t="shared" si="1"/>
        <v>0</v>
      </c>
      <c r="K13" s="31">
        <f t="shared" si="2"/>
        <v>0</v>
      </c>
    </row>
    <row r="14" spans="1:11" ht="12.75">
      <c r="A14" s="59">
        <v>2115679</v>
      </c>
      <c r="B14" s="53" t="s">
        <v>244</v>
      </c>
      <c r="C14" s="35"/>
      <c r="D14" s="35"/>
      <c r="E14" s="35"/>
      <c r="F14" s="50">
        <f t="shared" si="3"/>
        <v>0</v>
      </c>
      <c r="G14" s="28">
        <f t="shared" si="0"/>
        <v>34.995</v>
      </c>
      <c r="H14" s="29">
        <f>G14*(1-'Dealer Inputs'!$D$22)*(1-'Dealer Inputs'!$H$22)</f>
        <v>34.995</v>
      </c>
      <c r="I14" s="30">
        <v>69.99</v>
      </c>
      <c r="J14" s="33">
        <f t="shared" si="1"/>
        <v>0</v>
      </c>
      <c r="K14" s="31">
        <f t="shared" si="2"/>
        <v>0</v>
      </c>
    </row>
    <row r="15" spans="1:11" ht="12.75">
      <c r="A15" s="59"/>
      <c r="B15" s="53"/>
      <c r="C15" s="35"/>
      <c r="D15" s="35"/>
      <c r="E15" s="35"/>
      <c r="F15" s="50"/>
      <c r="G15" s="28"/>
      <c r="H15" s="29"/>
      <c r="I15" s="30"/>
      <c r="J15" s="33"/>
      <c r="K15" s="31"/>
    </row>
    <row r="16" spans="1:11" ht="12.75">
      <c r="A16" s="54">
        <v>2115680</v>
      </c>
      <c r="B16" s="53" t="s">
        <v>245</v>
      </c>
      <c r="C16" s="35"/>
      <c r="D16" s="35"/>
      <c r="E16" s="35"/>
      <c r="F16" s="50">
        <f t="shared" si="3"/>
        <v>0</v>
      </c>
      <c r="G16" s="28">
        <f t="shared" si="0"/>
        <v>34.995</v>
      </c>
      <c r="H16" s="29">
        <f>G16*(1-'Dealer Inputs'!$D$22)*(1-'Dealer Inputs'!$H$22)</f>
        <v>34.995</v>
      </c>
      <c r="I16" s="30">
        <v>69.99</v>
      </c>
      <c r="J16" s="33">
        <f t="shared" si="1"/>
        <v>0</v>
      </c>
      <c r="K16" s="31">
        <f t="shared" si="2"/>
        <v>0</v>
      </c>
    </row>
    <row r="17" spans="1:11" ht="12.75">
      <c r="A17" s="59">
        <v>2115681</v>
      </c>
      <c r="B17" s="53" t="s">
        <v>246</v>
      </c>
      <c r="C17" s="35"/>
      <c r="D17" s="35"/>
      <c r="E17" s="35"/>
      <c r="F17" s="27"/>
      <c r="G17" s="28">
        <f t="shared" si="0"/>
        <v>34.995</v>
      </c>
      <c r="H17" s="29">
        <f>G17*(1-'Dealer Inputs'!$D$22)*(1-'Dealer Inputs'!$H$22)</f>
        <v>34.995</v>
      </c>
      <c r="I17" s="30">
        <v>69.99</v>
      </c>
      <c r="J17" s="33">
        <f t="shared" si="1"/>
        <v>0</v>
      </c>
      <c r="K17" s="31">
        <f t="shared" si="2"/>
        <v>0</v>
      </c>
    </row>
    <row r="18" spans="1:11" ht="12.75">
      <c r="A18" s="54">
        <v>2115682</v>
      </c>
      <c r="B18" s="53" t="s">
        <v>247</v>
      </c>
      <c r="C18" s="35"/>
      <c r="D18" s="35"/>
      <c r="E18" s="35"/>
      <c r="F18" s="27"/>
      <c r="G18" s="28"/>
      <c r="H18" s="29"/>
      <c r="I18" s="30"/>
      <c r="J18" s="33"/>
      <c r="K18" s="31"/>
    </row>
    <row r="19" spans="1:11" ht="12.75">
      <c r="A19" s="59">
        <v>2115683</v>
      </c>
      <c r="B19" s="53" t="s">
        <v>248</v>
      </c>
      <c r="C19" s="35"/>
      <c r="D19" s="35"/>
      <c r="E19" s="35"/>
      <c r="F19" s="27"/>
      <c r="G19" s="28">
        <f t="shared" si="0"/>
        <v>34.995</v>
      </c>
      <c r="H19" s="29">
        <f>G19*(1-'Dealer Inputs'!$D$22)*(1-'Dealer Inputs'!$H$22)</f>
        <v>34.995</v>
      </c>
      <c r="I19" s="30">
        <v>69.99</v>
      </c>
      <c r="J19" s="33">
        <f t="shared" si="1"/>
        <v>0</v>
      </c>
      <c r="K19" s="31">
        <f t="shared" si="2"/>
        <v>0</v>
      </c>
    </row>
    <row r="20" spans="1:11" ht="12.75">
      <c r="A20" s="54">
        <v>2115684</v>
      </c>
      <c r="B20" s="53" t="s">
        <v>249</v>
      </c>
      <c r="C20" s="35"/>
      <c r="D20" s="35"/>
      <c r="E20" s="35"/>
      <c r="F20" s="27"/>
      <c r="G20" s="28">
        <f t="shared" si="0"/>
        <v>34.995</v>
      </c>
      <c r="H20" s="29">
        <f>G20*(1-'Dealer Inputs'!$D$22)*(1-'Dealer Inputs'!$H$22)</f>
        <v>34.995</v>
      </c>
      <c r="I20" s="30">
        <v>69.99</v>
      </c>
      <c r="J20" s="33">
        <f t="shared" si="1"/>
        <v>0</v>
      </c>
      <c r="K20" s="31">
        <f t="shared" si="2"/>
        <v>0</v>
      </c>
    </row>
    <row r="21" spans="1:11" ht="15.75" customHeight="1">
      <c r="A21" s="59">
        <v>2115685</v>
      </c>
      <c r="B21" s="53" t="s">
        <v>250</v>
      </c>
      <c r="C21" s="35"/>
      <c r="D21" s="35"/>
      <c r="E21" s="35"/>
      <c r="F21" s="27"/>
      <c r="G21" s="28">
        <f t="shared" si="0"/>
        <v>34.995</v>
      </c>
      <c r="H21" s="29">
        <f>G21*(1-'Dealer Inputs'!$D$22)*(1-'Dealer Inputs'!$H$22)</f>
        <v>34.995</v>
      </c>
      <c r="I21" s="30">
        <v>69.99</v>
      </c>
      <c r="J21" s="33">
        <f t="shared" si="1"/>
        <v>0</v>
      </c>
      <c r="K21" s="31">
        <f t="shared" si="2"/>
        <v>0</v>
      </c>
    </row>
    <row r="22" spans="1:11" ht="14.25" customHeight="1">
      <c r="A22" s="54">
        <v>2115686</v>
      </c>
      <c r="B22" s="53" t="s">
        <v>251</v>
      </c>
      <c r="C22" s="35"/>
      <c r="D22" s="35"/>
      <c r="E22" s="35"/>
      <c r="F22" s="27"/>
      <c r="G22" s="28">
        <f t="shared" si="0"/>
        <v>34.995</v>
      </c>
      <c r="H22" s="29">
        <f>G22*(1-'Dealer Inputs'!$D$22)*(1-'Dealer Inputs'!$H$22)</f>
        <v>34.995</v>
      </c>
      <c r="I22" s="30">
        <v>69.99</v>
      </c>
      <c r="J22" s="33">
        <f t="shared" si="1"/>
        <v>0</v>
      </c>
      <c r="K22" s="31">
        <f t="shared" si="2"/>
        <v>0</v>
      </c>
    </row>
    <row r="23" spans="1:11" ht="14.25" customHeight="1">
      <c r="A23" s="59">
        <v>2115687</v>
      </c>
      <c r="B23" s="53" t="s">
        <v>252</v>
      </c>
      <c r="C23" s="35"/>
      <c r="D23" s="35"/>
      <c r="E23" s="35"/>
      <c r="F23" s="27"/>
      <c r="G23" s="28"/>
      <c r="H23" s="29"/>
      <c r="I23" s="30"/>
      <c r="J23" s="33"/>
      <c r="K23" s="31"/>
    </row>
    <row r="24" spans="1:11" ht="15.75" customHeight="1">
      <c r="A24" s="54">
        <v>2115688</v>
      </c>
      <c r="B24" s="53" t="s">
        <v>253</v>
      </c>
      <c r="C24" s="35"/>
      <c r="D24" s="35"/>
      <c r="E24" s="35"/>
      <c r="F24" s="27"/>
      <c r="G24" s="28">
        <f t="shared" si="0"/>
        <v>34.995</v>
      </c>
      <c r="H24" s="29">
        <f>G24*(1-'Dealer Inputs'!$D$22)*(1-'Dealer Inputs'!$H$22)</f>
        <v>34.995</v>
      </c>
      <c r="I24" s="30">
        <v>69.99</v>
      </c>
      <c r="J24" s="33">
        <f t="shared" si="1"/>
        <v>0</v>
      </c>
      <c r="K24" s="31">
        <f t="shared" si="2"/>
        <v>0</v>
      </c>
    </row>
    <row r="25" spans="1:11" ht="15" customHeight="1">
      <c r="A25" s="59">
        <v>2115689</v>
      </c>
      <c r="B25" s="53" t="s">
        <v>254</v>
      </c>
      <c r="C25" s="35"/>
      <c r="D25" s="35"/>
      <c r="E25" s="35"/>
      <c r="F25" s="27"/>
      <c r="G25" s="28">
        <f t="shared" si="0"/>
        <v>34.995</v>
      </c>
      <c r="H25" s="29">
        <f>G25*(1-'Dealer Inputs'!$D$22)*(1-'Dealer Inputs'!$H$22)</f>
        <v>34.995</v>
      </c>
      <c r="I25" s="30">
        <v>69.99</v>
      </c>
      <c r="J25" s="33">
        <f t="shared" si="1"/>
        <v>0</v>
      </c>
      <c r="K25" s="31">
        <f t="shared" si="2"/>
        <v>0</v>
      </c>
    </row>
    <row r="26" spans="1:11" ht="15" customHeight="1">
      <c r="A26" s="54">
        <v>2115690</v>
      </c>
      <c r="B26" s="53" t="s">
        <v>255</v>
      </c>
      <c r="C26" s="35"/>
      <c r="D26" s="35"/>
      <c r="E26" s="35"/>
      <c r="F26" s="27"/>
      <c r="G26" s="28">
        <f t="shared" si="0"/>
        <v>34.995</v>
      </c>
      <c r="H26" s="29">
        <f>G26*(1-'Dealer Inputs'!$D$22)*(1-'Dealer Inputs'!$H$22)</f>
        <v>34.995</v>
      </c>
      <c r="I26" s="30">
        <v>69.99</v>
      </c>
      <c r="J26" s="33">
        <f t="shared" si="1"/>
        <v>0</v>
      </c>
      <c r="K26" s="31">
        <f t="shared" si="2"/>
        <v>0</v>
      </c>
    </row>
    <row r="27" spans="1:11" ht="14.25" customHeight="1">
      <c r="A27" s="59">
        <v>2115691</v>
      </c>
      <c r="B27" s="53" t="s">
        <v>256</v>
      </c>
      <c r="C27" s="35"/>
      <c r="D27" s="35"/>
      <c r="E27" s="35"/>
      <c r="F27" s="27"/>
      <c r="G27" s="28">
        <f t="shared" si="0"/>
        <v>34.995</v>
      </c>
      <c r="H27" s="29">
        <f>G27*(1-'Dealer Inputs'!$D$22)*(1-'Dealer Inputs'!$H$22)</f>
        <v>34.995</v>
      </c>
      <c r="I27" s="30">
        <v>69.99</v>
      </c>
      <c r="J27" s="33">
        <f t="shared" si="1"/>
        <v>0</v>
      </c>
      <c r="K27" s="31">
        <f t="shared" si="2"/>
        <v>0</v>
      </c>
    </row>
    <row r="28" spans="1:11" ht="14.25" customHeight="1">
      <c r="A28" s="54">
        <v>2115692</v>
      </c>
      <c r="B28" s="53" t="s">
        <v>257</v>
      </c>
      <c r="C28" s="35"/>
      <c r="D28" s="35"/>
      <c r="E28" s="35"/>
      <c r="F28" s="27"/>
      <c r="G28" s="28"/>
      <c r="H28" s="29"/>
      <c r="I28" s="30"/>
      <c r="J28" s="33"/>
      <c r="K28" s="31"/>
    </row>
    <row r="29" spans="1:11" ht="15" customHeight="1">
      <c r="A29" s="59">
        <v>2115693</v>
      </c>
      <c r="B29" s="53" t="s">
        <v>258</v>
      </c>
      <c r="C29" s="35"/>
      <c r="D29" s="35"/>
      <c r="E29" s="35"/>
      <c r="F29" s="27"/>
      <c r="G29" s="28">
        <f t="shared" si="0"/>
        <v>34.995</v>
      </c>
      <c r="H29" s="29">
        <f>G29*(1-'Dealer Inputs'!$D$22)*(1-'Dealer Inputs'!$H$22)</f>
        <v>34.995</v>
      </c>
      <c r="I29" s="30">
        <v>69.99</v>
      </c>
      <c r="J29" s="33">
        <f t="shared" si="1"/>
        <v>0</v>
      </c>
      <c r="K29" s="31">
        <f t="shared" si="2"/>
        <v>0</v>
      </c>
    </row>
    <row r="30" spans="1:11" ht="13.5" customHeight="1">
      <c r="A30" s="54">
        <v>2115694</v>
      </c>
      <c r="B30" s="53" t="s">
        <v>259</v>
      </c>
      <c r="C30" s="35"/>
      <c r="D30" s="35"/>
      <c r="E30" s="35"/>
      <c r="F30" s="27"/>
      <c r="G30" s="28">
        <f t="shared" si="0"/>
        <v>34.995</v>
      </c>
      <c r="H30" s="29">
        <f>G30*(1-'Dealer Inputs'!$D$22)*(1-'Dealer Inputs'!$H$22)</f>
        <v>34.995</v>
      </c>
      <c r="I30" s="30">
        <v>69.99</v>
      </c>
      <c r="J30" s="33">
        <f t="shared" si="1"/>
        <v>0</v>
      </c>
      <c r="K30" s="31">
        <f t="shared" si="2"/>
        <v>0</v>
      </c>
    </row>
    <row r="31" spans="1:11" ht="14.25" customHeight="1">
      <c r="A31" s="59">
        <v>2115695</v>
      </c>
      <c r="B31" s="53" t="s">
        <v>260</v>
      </c>
      <c r="C31" s="35"/>
      <c r="D31" s="35"/>
      <c r="E31" s="35"/>
      <c r="F31" s="27"/>
      <c r="G31" s="28">
        <f t="shared" si="0"/>
        <v>34.995</v>
      </c>
      <c r="H31" s="29">
        <f>G31*(1-'Dealer Inputs'!$D$22)*(1-'Dealer Inputs'!$H$22)</f>
        <v>34.995</v>
      </c>
      <c r="I31" s="30">
        <v>69.99</v>
      </c>
      <c r="J31" s="33">
        <f t="shared" si="1"/>
        <v>0</v>
      </c>
      <c r="K31" s="31">
        <f t="shared" si="2"/>
        <v>0</v>
      </c>
    </row>
    <row r="32" spans="1:11" ht="14.25" customHeight="1">
      <c r="A32" s="59"/>
      <c r="B32" s="53"/>
      <c r="C32" s="35"/>
      <c r="D32" s="35"/>
      <c r="E32" s="35"/>
      <c r="F32" s="27"/>
      <c r="G32" s="28"/>
      <c r="H32" s="29"/>
      <c r="I32" s="30"/>
      <c r="J32" s="33"/>
      <c r="K32" s="31"/>
    </row>
    <row r="33" spans="1:11" ht="12" customHeight="1">
      <c r="A33" s="54">
        <v>2115696</v>
      </c>
      <c r="B33" s="53" t="s">
        <v>261</v>
      </c>
      <c r="C33" s="35"/>
      <c r="D33" s="35"/>
      <c r="E33" s="35"/>
      <c r="F33" s="27"/>
      <c r="G33" s="28">
        <f t="shared" si="0"/>
        <v>34.995</v>
      </c>
      <c r="H33" s="29">
        <f>G33*(1-'Dealer Inputs'!$D$22)*(1-'Dealer Inputs'!$H$22)</f>
        <v>34.995</v>
      </c>
      <c r="I33" s="30">
        <v>69.99</v>
      </c>
      <c r="J33" s="33">
        <f t="shared" si="1"/>
        <v>0</v>
      </c>
      <c r="K33" s="31">
        <f t="shared" si="2"/>
        <v>0</v>
      </c>
    </row>
    <row r="34" spans="1:11" ht="12" customHeight="1">
      <c r="A34" s="59">
        <v>2115697</v>
      </c>
      <c r="B34" s="53" t="s">
        <v>262</v>
      </c>
      <c r="C34" s="35"/>
      <c r="D34" s="35"/>
      <c r="E34" s="35"/>
      <c r="F34" s="27"/>
      <c r="G34" s="28"/>
      <c r="H34" s="29"/>
      <c r="I34" s="30"/>
      <c r="J34" s="33"/>
      <c r="K34" s="31"/>
    </row>
    <row r="35" spans="1:11" ht="12.75">
      <c r="A35" s="54">
        <v>2115698</v>
      </c>
      <c r="B35" s="53" t="s">
        <v>263</v>
      </c>
      <c r="C35" s="35"/>
      <c r="D35" s="35"/>
      <c r="E35" s="35"/>
      <c r="F35" s="27"/>
      <c r="G35" s="28">
        <f t="shared" si="0"/>
        <v>34.995</v>
      </c>
      <c r="H35" s="29">
        <f>G35*(1-'Dealer Inputs'!$D$22)*(1-'Dealer Inputs'!$H$22)</f>
        <v>34.995</v>
      </c>
      <c r="I35" s="30">
        <v>69.99</v>
      </c>
      <c r="J35" s="33">
        <f t="shared" si="1"/>
        <v>0</v>
      </c>
      <c r="K35" s="31">
        <f t="shared" si="2"/>
        <v>0</v>
      </c>
    </row>
    <row r="36" spans="1:11" ht="12" customHeight="1">
      <c r="A36" s="59">
        <v>2115699</v>
      </c>
      <c r="B36" s="53" t="s">
        <v>264</v>
      </c>
      <c r="C36" s="35"/>
      <c r="D36" s="35"/>
      <c r="E36" s="35"/>
      <c r="F36" s="27"/>
      <c r="G36" s="28">
        <f t="shared" si="0"/>
        <v>34.995</v>
      </c>
      <c r="H36" s="29">
        <f>G36*(1-'Dealer Inputs'!$D$22)*(1-'Dealer Inputs'!$H$22)</f>
        <v>34.995</v>
      </c>
      <c r="I36" s="30">
        <v>69.99</v>
      </c>
      <c r="J36" s="33">
        <f t="shared" si="1"/>
        <v>0</v>
      </c>
      <c r="K36" s="31">
        <f t="shared" si="2"/>
        <v>0</v>
      </c>
    </row>
    <row r="37" spans="1:11" ht="12.75">
      <c r="A37" s="54">
        <v>2115700</v>
      </c>
      <c r="B37" s="53" t="s">
        <v>265</v>
      </c>
      <c r="C37" s="35"/>
      <c r="D37" s="35"/>
      <c r="E37" s="35"/>
      <c r="F37" s="27"/>
      <c r="G37" s="28">
        <f t="shared" si="0"/>
        <v>34.995</v>
      </c>
      <c r="H37" s="29">
        <f>G37*(1-'Dealer Inputs'!$D$22)*(1-'Dealer Inputs'!$H$22)</f>
        <v>34.995</v>
      </c>
      <c r="I37" s="30">
        <v>69.99</v>
      </c>
      <c r="J37" s="33">
        <f t="shared" si="1"/>
        <v>0</v>
      </c>
      <c r="K37" s="31">
        <f t="shared" si="2"/>
        <v>0</v>
      </c>
    </row>
    <row r="38" spans="1:11" ht="12.75">
      <c r="A38" s="59">
        <v>2115701</v>
      </c>
      <c r="B38" s="53" t="s">
        <v>266</v>
      </c>
      <c r="C38" s="35"/>
      <c r="D38" s="35"/>
      <c r="E38" s="35"/>
      <c r="F38" s="27"/>
      <c r="G38" s="28"/>
      <c r="H38" s="29"/>
      <c r="I38" s="30"/>
      <c r="J38" s="33"/>
      <c r="K38" s="31"/>
    </row>
    <row r="39" spans="1:11" ht="12.75">
      <c r="A39" s="54">
        <v>2115702</v>
      </c>
      <c r="B39" s="53" t="s">
        <v>267</v>
      </c>
      <c r="C39" s="35"/>
      <c r="D39" s="35"/>
      <c r="E39" s="35"/>
      <c r="F39" s="27"/>
      <c r="G39" s="28">
        <f t="shared" si="0"/>
        <v>34.995</v>
      </c>
      <c r="H39" s="29">
        <f>G39*(1-'Dealer Inputs'!$D$22)*(1-'Dealer Inputs'!$H$22)</f>
        <v>34.995</v>
      </c>
      <c r="I39" s="30">
        <v>69.99</v>
      </c>
      <c r="J39" s="33">
        <f t="shared" si="1"/>
        <v>0</v>
      </c>
      <c r="K39" s="31">
        <f t="shared" si="2"/>
        <v>0</v>
      </c>
    </row>
    <row r="40" spans="1:11" ht="12.75">
      <c r="A40" s="59">
        <v>2115703</v>
      </c>
      <c r="B40" s="53" t="s">
        <v>268</v>
      </c>
      <c r="C40" s="35"/>
      <c r="D40" s="35"/>
      <c r="E40" s="35"/>
      <c r="F40" s="27"/>
      <c r="G40" s="28">
        <f t="shared" si="0"/>
        <v>34.995</v>
      </c>
      <c r="H40" s="29">
        <f>G40*(1-'Dealer Inputs'!$D$22)*(1-'Dealer Inputs'!$H$22)</f>
        <v>34.995</v>
      </c>
      <c r="I40" s="30">
        <v>69.99</v>
      </c>
      <c r="J40" s="33">
        <f t="shared" si="1"/>
        <v>0</v>
      </c>
      <c r="K40" s="31">
        <f t="shared" si="2"/>
        <v>0</v>
      </c>
    </row>
    <row r="41" spans="1:11" ht="12.75">
      <c r="A41" s="54">
        <v>2115704</v>
      </c>
      <c r="B41" s="53" t="s">
        <v>269</v>
      </c>
      <c r="C41" s="35"/>
      <c r="D41" s="35"/>
      <c r="E41" s="35"/>
      <c r="F41" s="27"/>
      <c r="G41" s="28">
        <f t="shared" si="0"/>
        <v>34.995</v>
      </c>
      <c r="H41" s="29">
        <f>G41*(1-'Dealer Inputs'!$D$22)*(1-'Dealer Inputs'!$H$22)</f>
        <v>34.995</v>
      </c>
      <c r="I41" s="30">
        <v>69.99</v>
      </c>
      <c r="J41" s="33">
        <f t="shared" si="1"/>
        <v>0</v>
      </c>
      <c r="K41" s="31">
        <f t="shared" si="2"/>
        <v>0</v>
      </c>
    </row>
    <row r="42" spans="1:11" ht="12.75">
      <c r="A42" s="59">
        <v>2115705</v>
      </c>
      <c r="B42" s="53" t="s">
        <v>270</v>
      </c>
      <c r="C42" s="37"/>
      <c r="D42" s="37"/>
      <c r="E42" s="37"/>
      <c r="F42" s="36"/>
      <c r="G42" s="28"/>
      <c r="H42" s="29"/>
      <c r="I42" s="30"/>
      <c r="J42" s="33"/>
      <c r="K42" s="31"/>
    </row>
    <row r="43" spans="1:11" ht="12.75">
      <c r="A43" s="54">
        <v>2115706</v>
      </c>
      <c r="B43" s="53" t="s">
        <v>454</v>
      </c>
      <c r="C43" s="37"/>
      <c r="D43" s="37"/>
      <c r="E43" s="37"/>
      <c r="F43" s="36"/>
      <c r="G43" s="28"/>
      <c r="H43" s="29"/>
      <c r="I43" s="30"/>
      <c r="J43" s="33"/>
      <c r="K43" s="31"/>
    </row>
    <row r="44" spans="1:11" ht="12.75">
      <c r="A44" s="59">
        <v>2115707</v>
      </c>
      <c r="B44" s="53" t="s">
        <v>455</v>
      </c>
      <c r="C44" s="37"/>
      <c r="D44" s="37"/>
      <c r="E44" s="37"/>
      <c r="F44" s="36"/>
      <c r="G44" s="28">
        <f t="shared" si="0"/>
        <v>32.495</v>
      </c>
      <c r="H44" s="29">
        <f>G44*(1-'Dealer Inputs'!$D$22)*(1-'Dealer Inputs'!$H$22)</f>
        <v>32.495</v>
      </c>
      <c r="I44" s="30">
        <v>64.99</v>
      </c>
      <c r="J44" s="33">
        <f t="shared" si="1"/>
        <v>0</v>
      </c>
      <c r="K44" s="31">
        <f t="shared" si="2"/>
        <v>0</v>
      </c>
    </row>
    <row r="45" spans="1:11" ht="12.75">
      <c r="A45" s="59"/>
      <c r="B45" s="53"/>
      <c r="C45" s="37"/>
      <c r="D45" s="37"/>
      <c r="E45" s="37"/>
      <c r="F45" s="36"/>
      <c r="G45" s="28"/>
      <c r="H45" s="29"/>
      <c r="I45" s="30"/>
      <c r="J45" s="33"/>
      <c r="K45" s="31"/>
    </row>
    <row r="46" spans="1:11" ht="12.75">
      <c r="A46" s="54">
        <v>2115708</v>
      </c>
      <c r="B46" s="53" t="s">
        <v>456</v>
      </c>
      <c r="C46" s="37"/>
      <c r="D46" s="37"/>
      <c r="E46" s="37"/>
      <c r="F46" s="36"/>
      <c r="G46" s="28">
        <f t="shared" si="0"/>
        <v>32.495</v>
      </c>
      <c r="H46" s="29">
        <f>G46*(1-'Dealer Inputs'!$D$22)*(1-'Dealer Inputs'!$H$22)</f>
        <v>32.495</v>
      </c>
      <c r="I46" s="30">
        <v>64.99</v>
      </c>
      <c r="J46" s="33">
        <f t="shared" si="1"/>
        <v>0</v>
      </c>
      <c r="K46" s="31">
        <f t="shared" si="2"/>
        <v>0</v>
      </c>
    </row>
    <row r="47" spans="1:11" ht="12.75">
      <c r="A47" s="59">
        <v>2115709</v>
      </c>
      <c r="B47" s="53" t="s">
        <v>457</v>
      </c>
      <c r="C47" s="37"/>
      <c r="D47" s="37"/>
      <c r="E47" s="37"/>
      <c r="F47" s="36"/>
      <c r="G47" s="28"/>
      <c r="H47" s="29"/>
      <c r="I47" s="30"/>
      <c r="J47" s="33"/>
      <c r="K47" s="31"/>
    </row>
    <row r="48" spans="1:11" ht="12.75">
      <c r="A48" s="54">
        <v>2115710</v>
      </c>
      <c r="B48" s="53" t="s">
        <v>353</v>
      </c>
      <c r="C48" s="37"/>
      <c r="D48" s="37"/>
      <c r="E48" s="37"/>
      <c r="F48" s="36"/>
      <c r="G48" s="28"/>
      <c r="H48" s="29"/>
      <c r="I48" s="30"/>
      <c r="J48" s="33"/>
      <c r="K48" s="31"/>
    </row>
    <row r="49" spans="1:11" ht="13.5" customHeight="1">
      <c r="A49" s="59">
        <v>2115711</v>
      </c>
      <c r="B49" s="53" t="s">
        <v>354</v>
      </c>
      <c r="C49" s="37"/>
      <c r="D49" s="37"/>
      <c r="E49" s="37"/>
      <c r="F49" s="36"/>
      <c r="G49" s="28">
        <f t="shared" si="0"/>
        <v>32.495</v>
      </c>
      <c r="H49" s="29">
        <f>G49*(1-'Dealer Inputs'!$D$22)*(1-'Dealer Inputs'!$H$22)</f>
        <v>32.495</v>
      </c>
      <c r="I49" s="30">
        <v>64.99</v>
      </c>
      <c r="J49" s="33">
        <f t="shared" si="1"/>
        <v>0</v>
      </c>
      <c r="K49" s="31">
        <f t="shared" si="2"/>
        <v>0</v>
      </c>
    </row>
    <row r="50" spans="1:11" ht="12.75">
      <c r="A50" s="54">
        <v>2115712</v>
      </c>
      <c r="B50" s="53" t="s">
        <v>355</v>
      </c>
      <c r="C50" s="37"/>
      <c r="D50" s="37"/>
      <c r="E50" s="37"/>
      <c r="F50" s="36"/>
      <c r="G50" s="28">
        <f t="shared" si="0"/>
        <v>32.495</v>
      </c>
      <c r="H50" s="29">
        <f>G50*(1-'Dealer Inputs'!$D$22)*(1-'Dealer Inputs'!$H$22)</f>
        <v>32.495</v>
      </c>
      <c r="I50" s="30">
        <v>64.99</v>
      </c>
      <c r="J50" s="33">
        <f t="shared" si="1"/>
        <v>0</v>
      </c>
      <c r="K50" s="31">
        <f t="shared" si="2"/>
        <v>0</v>
      </c>
    </row>
    <row r="51" spans="1:11" ht="11.25" customHeight="1">
      <c r="A51" s="59">
        <v>2115713</v>
      </c>
      <c r="B51" s="53" t="s">
        <v>369</v>
      </c>
      <c r="C51" s="37"/>
      <c r="D51" s="37"/>
      <c r="E51" s="37"/>
      <c r="F51" s="36"/>
      <c r="G51" s="28">
        <f t="shared" si="0"/>
        <v>32.495</v>
      </c>
      <c r="H51" s="29">
        <f>G51*(1-'Dealer Inputs'!$D$22)*(1-'Dealer Inputs'!$H$22)</f>
        <v>32.495</v>
      </c>
      <c r="I51" s="30">
        <v>64.99</v>
      </c>
      <c r="J51" s="33">
        <f t="shared" si="1"/>
        <v>0</v>
      </c>
      <c r="K51" s="31">
        <f t="shared" si="2"/>
        <v>0</v>
      </c>
    </row>
    <row r="52" spans="1:11" ht="11.25" customHeight="1">
      <c r="A52" s="54">
        <v>2115714</v>
      </c>
      <c r="B52" s="53" t="s">
        <v>370</v>
      </c>
      <c r="C52" s="37"/>
      <c r="D52" s="37"/>
      <c r="E52" s="37"/>
      <c r="F52" s="36"/>
      <c r="G52" s="28"/>
      <c r="H52" s="29"/>
      <c r="I52" s="30"/>
      <c r="J52" s="33"/>
      <c r="K52" s="31"/>
    </row>
    <row r="53" spans="1:11" ht="12.75">
      <c r="A53" s="59">
        <v>2115715</v>
      </c>
      <c r="B53" s="53" t="s">
        <v>371</v>
      </c>
      <c r="C53" s="37"/>
      <c r="D53" s="37"/>
      <c r="E53" s="37"/>
      <c r="F53" s="36"/>
      <c r="G53" s="28">
        <f t="shared" si="0"/>
        <v>32.495</v>
      </c>
      <c r="H53" s="29">
        <f>G53*(1-'Dealer Inputs'!$D$22)*(1-'Dealer Inputs'!$H$22)</f>
        <v>32.495</v>
      </c>
      <c r="I53" s="30">
        <v>64.99</v>
      </c>
      <c r="J53" s="33">
        <f t="shared" si="1"/>
        <v>0</v>
      </c>
      <c r="K53" s="31">
        <f t="shared" si="2"/>
        <v>0</v>
      </c>
    </row>
    <row r="54" spans="1:11" ht="12.75">
      <c r="A54" s="52"/>
      <c r="B54" s="53"/>
      <c r="C54" s="37"/>
      <c r="D54" s="37"/>
      <c r="E54" s="37"/>
      <c r="F54" s="36"/>
      <c r="G54" s="28">
        <f t="shared" si="0"/>
        <v>32.495</v>
      </c>
      <c r="H54" s="29">
        <f>G54*(1-'Dealer Inputs'!$D$22)*(1-'Dealer Inputs'!$H$22)</f>
        <v>32.495</v>
      </c>
      <c r="I54" s="30">
        <v>64.99</v>
      </c>
      <c r="J54" s="33">
        <f t="shared" si="1"/>
        <v>0</v>
      </c>
      <c r="K54" s="31">
        <f t="shared" si="2"/>
        <v>0</v>
      </c>
    </row>
    <row r="55" spans="1:11" ht="12.75">
      <c r="A55" s="60" t="s">
        <v>293</v>
      </c>
      <c r="B55" s="60" t="s">
        <v>297</v>
      </c>
      <c r="C55" s="37"/>
      <c r="D55" s="37"/>
      <c r="E55" s="37"/>
      <c r="F55" s="36"/>
      <c r="G55" s="28">
        <f t="shared" si="0"/>
        <v>32.495</v>
      </c>
      <c r="H55" s="29">
        <f>G55*(1-'Dealer Inputs'!$D$22)*(1-'Dealer Inputs'!$H$22)</f>
        <v>32.495</v>
      </c>
      <c r="I55" s="30">
        <v>64.99</v>
      </c>
      <c r="J55" s="33">
        <f t="shared" si="1"/>
        <v>0</v>
      </c>
      <c r="K55" s="31">
        <f t="shared" si="2"/>
        <v>0</v>
      </c>
    </row>
    <row r="56" spans="1:11" ht="12.75">
      <c r="A56" s="60" t="s">
        <v>294</v>
      </c>
      <c r="B56" s="60" t="s">
        <v>298</v>
      </c>
      <c r="C56" s="37"/>
      <c r="D56" s="37"/>
      <c r="E56" s="37"/>
      <c r="F56" s="36"/>
      <c r="G56" s="28">
        <f t="shared" si="0"/>
        <v>32.495</v>
      </c>
      <c r="H56" s="29">
        <f>G56*(1-'Dealer Inputs'!$D$22)*(1-'Dealer Inputs'!$H$22)</f>
        <v>32.495</v>
      </c>
      <c r="I56" s="30">
        <v>64.99</v>
      </c>
      <c r="J56" s="33">
        <f t="shared" si="1"/>
        <v>0</v>
      </c>
      <c r="K56" s="31">
        <f t="shared" si="2"/>
        <v>0</v>
      </c>
    </row>
    <row r="57" spans="1:11" ht="12.75">
      <c r="A57" s="60" t="s">
        <v>295</v>
      </c>
      <c r="B57" s="60" t="s">
        <v>472</v>
      </c>
      <c r="C57" s="37"/>
      <c r="D57" s="37"/>
      <c r="E57" s="37"/>
      <c r="F57" s="36"/>
      <c r="G57" s="28"/>
      <c r="H57" s="29"/>
      <c r="I57" s="30"/>
      <c r="J57" s="33"/>
      <c r="K57" s="31"/>
    </row>
    <row r="58" spans="1:11" ht="12" customHeight="1">
      <c r="A58" s="60" t="s">
        <v>296</v>
      </c>
      <c r="B58" s="60" t="s">
        <v>403</v>
      </c>
      <c r="C58" s="37"/>
      <c r="D58" s="37"/>
      <c r="E58" s="37"/>
      <c r="F58" s="36"/>
      <c r="G58" s="28">
        <f t="shared" si="0"/>
        <v>32.495</v>
      </c>
      <c r="H58" s="29">
        <f>G58*(1-'Dealer Inputs'!$D$22)*(1-'Dealer Inputs'!$H$22)</f>
        <v>32.495</v>
      </c>
      <c r="I58" s="30">
        <v>64.99</v>
      </c>
      <c r="J58" s="33">
        <f t="shared" si="1"/>
        <v>0</v>
      </c>
      <c r="K58" s="31">
        <f t="shared" si="2"/>
        <v>0</v>
      </c>
    </row>
  </sheetData>
  <sheetProtection/>
  <autoFilter ref="F5:F58"/>
  <mergeCells count="1">
    <mergeCell ref="A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RowColHeaders="0" zoomScalePageLayoutView="0" workbookViewId="0" topLeftCell="A1">
      <selection activeCell="R14" sqref="R14"/>
    </sheetView>
  </sheetViews>
  <sheetFormatPr defaultColWidth="8.8515625" defaultRowHeight="12.75"/>
  <cols>
    <col min="1" max="1" width="10.28125" style="0" customWidth="1"/>
    <col min="2" max="2" width="29.140625" style="0" customWidth="1"/>
    <col min="3" max="3" width="7.140625" style="0" customWidth="1"/>
    <col min="4" max="4" width="6.140625" style="0" customWidth="1"/>
    <col min="5" max="5" width="6.8515625" style="0" customWidth="1"/>
    <col min="6" max="6" width="8.28125" style="0" customWidth="1"/>
    <col min="7" max="7" width="9.7109375" style="526" customWidth="1"/>
    <col min="8" max="8" width="11.00390625" style="0" customWidth="1"/>
    <col min="9" max="9" width="10.421875" style="0" customWidth="1"/>
    <col min="10" max="15" width="11.00390625" style="0" hidden="1" customWidth="1"/>
    <col min="16" max="16" width="10.8515625" style="0" bestFit="1" customWidth="1"/>
  </cols>
  <sheetData>
    <row r="1" spans="1:16" s="208" customFormat="1" ht="24.75" thickBot="1">
      <c r="A1" s="290" t="s">
        <v>315</v>
      </c>
      <c r="B1" s="291" t="s">
        <v>316</v>
      </c>
      <c r="C1" s="292" t="s">
        <v>342</v>
      </c>
      <c r="D1" s="292" t="s">
        <v>343</v>
      </c>
      <c r="E1" s="292" t="s">
        <v>344</v>
      </c>
      <c r="F1" s="293" t="s">
        <v>345</v>
      </c>
      <c r="G1" s="529" t="s">
        <v>477</v>
      </c>
      <c r="H1" s="294" t="s">
        <v>0</v>
      </c>
      <c r="I1" s="295" t="s">
        <v>471</v>
      </c>
      <c r="J1" s="291" t="s">
        <v>464</v>
      </c>
      <c r="K1" s="291" t="s">
        <v>465</v>
      </c>
      <c r="L1" s="291" t="s">
        <v>466</v>
      </c>
      <c r="M1" s="291" t="s">
        <v>467</v>
      </c>
      <c r="N1" s="291" t="s">
        <v>468</v>
      </c>
      <c r="O1" s="291" t="s">
        <v>469</v>
      </c>
      <c r="P1" s="296" t="s">
        <v>318</v>
      </c>
    </row>
    <row r="2" spans="1:16" ht="25.5" customHeight="1">
      <c r="A2" s="708" t="s">
        <v>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ht="25.5" customHeight="1">
      <c r="A3" s="188"/>
      <c r="B3" s="188"/>
      <c r="C3" s="188"/>
      <c r="D3" s="188"/>
      <c r="E3" s="188"/>
      <c r="F3" s="188"/>
      <c r="G3" s="544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4.25" customHeight="1">
      <c r="A4" s="374">
        <v>2128105</v>
      </c>
      <c r="B4" s="252" t="s">
        <v>2</v>
      </c>
      <c r="C4" s="272"/>
      <c r="D4" s="242"/>
      <c r="E4" s="242"/>
      <c r="F4" s="243">
        <f>SUM(C4:E4)</f>
        <v>0</v>
      </c>
      <c r="G4" s="545">
        <v>459.99</v>
      </c>
      <c r="H4" s="248">
        <v>321.99</v>
      </c>
      <c r="I4" s="358" t="s">
        <v>3</v>
      </c>
      <c r="J4" s="273">
        <f>SUM(C4*$G4)</f>
        <v>0</v>
      </c>
      <c r="K4" s="273">
        <f>SUM(D4*$G4)</f>
        <v>0</v>
      </c>
      <c r="L4" s="273">
        <f>SUM(E4*$G4)</f>
        <v>0</v>
      </c>
      <c r="M4" s="273">
        <f>SUM(C4*$H4)</f>
        <v>0</v>
      </c>
      <c r="N4" s="273">
        <f>SUM(D4*$H4)</f>
        <v>0</v>
      </c>
      <c r="O4" s="273">
        <f>SUM(E4*$H4)</f>
        <v>0</v>
      </c>
      <c r="P4" s="274">
        <f>H4*F4</f>
        <v>0</v>
      </c>
    </row>
    <row r="5" spans="1:16" ht="12.75" customHeight="1">
      <c r="A5" s="375">
        <v>2128106</v>
      </c>
      <c r="B5" s="190" t="s">
        <v>4</v>
      </c>
      <c r="C5" s="272"/>
      <c r="D5" s="242"/>
      <c r="E5" s="242"/>
      <c r="F5" s="243">
        <f aca="true" t="shared" si="0" ref="F5:F26">SUM(C5:E5)</f>
        <v>0</v>
      </c>
      <c r="G5" s="545">
        <v>499.99</v>
      </c>
      <c r="H5" s="248">
        <v>349.99</v>
      </c>
      <c r="I5" s="358" t="s">
        <v>3</v>
      </c>
      <c r="J5" s="273">
        <f aca="true" t="shared" si="1" ref="J5:J26">SUM(C5*$G5)</f>
        <v>0</v>
      </c>
      <c r="K5" s="273">
        <f aca="true" t="shared" si="2" ref="K5:K26">SUM(D5*$G5)</f>
        <v>0</v>
      </c>
      <c r="L5" s="273">
        <f aca="true" t="shared" si="3" ref="L5:L26">SUM(E5*$G5)</f>
        <v>0</v>
      </c>
      <c r="M5" s="273">
        <f aca="true" t="shared" si="4" ref="M5:M26">SUM(C5*$H5)</f>
        <v>0</v>
      </c>
      <c r="N5" s="273">
        <f aca="true" t="shared" si="5" ref="N5:N26">SUM(D5*$H5)</f>
        <v>0</v>
      </c>
      <c r="O5" s="273">
        <f aca="true" t="shared" si="6" ref="O5:O26">SUM(E5*$H5)</f>
        <v>0</v>
      </c>
      <c r="P5" s="274">
        <f aca="true" t="shared" si="7" ref="P5:P26">H5*F5</f>
        <v>0</v>
      </c>
    </row>
    <row r="6" spans="1:18" ht="12.75" customHeight="1">
      <c r="A6" s="255">
        <v>2128107</v>
      </c>
      <c r="B6" s="257" t="s">
        <v>5</v>
      </c>
      <c r="C6" s="272"/>
      <c r="D6" s="242"/>
      <c r="E6" s="242"/>
      <c r="F6" s="243">
        <f t="shared" si="0"/>
        <v>0</v>
      </c>
      <c r="G6" s="545">
        <v>549.99</v>
      </c>
      <c r="H6" s="248">
        <v>384.99</v>
      </c>
      <c r="I6" s="358" t="s">
        <v>3</v>
      </c>
      <c r="J6" s="273">
        <f t="shared" si="1"/>
        <v>0</v>
      </c>
      <c r="K6" s="273">
        <f t="shared" si="2"/>
        <v>0</v>
      </c>
      <c r="L6" s="273">
        <f t="shared" si="3"/>
        <v>0</v>
      </c>
      <c r="M6" s="273">
        <f t="shared" si="4"/>
        <v>0</v>
      </c>
      <c r="N6" s="273">
        <f t="shared" si="5"/>
        <v>0</v>
      </c>
      <c r="O6" s="273">
        <f t="shared" si="6"/>
        <v>0</v>
      </c>
      <c r="P6" s="274">
        <f t="shared" si="7"/>
        <v>0</v>
      </c>
      <c r="Q6" s="51"/>
      <c r="R6" s="238"/>
    </row>
    <row r="7" spans="1:16" ht="12.75" customHeight="1">
      <c r="A7" s="376">
        <v>2128108</v>
      </c>
      <c r="B7" s="377" t="s">
        <v>6</v>
      </c>
      <c r="C7" s="272"/>
      <c r="D7" s="242"/>
      <c r="E7" s="242"/>
      <c r="F7" s="243">
        <f t="shared" si="0"/>
        <v>0</v>
      </c>
      <c r="G7" s="545">
        <v>599.99</v>
      </c>
      <c r="H7" s="248">
        <v>419.99</v>
      </c>
      <c r="I7" s="358" t="s">
        <v>3</v>
      </c>
      <c r="J7" s="273">
        <f t="shared" si="1"/>
        <v>0</v>
      </c>
      <c r="K7" s="273">
        <f t="shared" si="2"/>
        <v>0</v>
      </c>
      <c r="L7" s="273">
        <f t="shared" si="3"/>
        <v>0</v>
      </c>
      <c r="M7" s="273">
        <f t="shared" si="4"/>
        <v>0</v>
      </c>
      <c r="N7" s="273">
        <f t="shared" si="5"/>
        <v>0</v>
      </c>
      <c r="O7" s="273">
        <f t="shared" si="6"/>
        <v>0</v>
      </c>
      <c r="P7" s="274">
        <f t="shared" si="7"/>
        <v>0</v>
      </c>
    </row>
    <row r="8" spans="1:16" ht="12.75">
      <c r="A8" s="376">
        <v>2128109</v>
      </c>
      <c r="B8" s="377" t="s">
        <v>7</v>
      </c>
      <c r="C8" s="272"/>
      <c r="D8" s="242"/>
      <c r="E8" s="242"/>
      <c r="F8" s="243">
        <f t="shared" si="0"/>
        <v>0</v>
      </c>
      <c r="G8" s="545">
        <v>649.99</v>
      </c>
      <c r="H8" s="248">
        <v>454.99</v>
      </c>
      <c r="I8" s="358" t="s">
        <v>3</v>
      </c>
      <c r="J8" s="273">
        <f t="shared" si="1"/>
        <v>0</v>
      </c>
      <c r="K8" s="273">
        <f t="shared" si="2"/>
        <v>0</v>
      </c>
      <c r="L8" s="273">
        <f t="shared" si="3"/>
        <v>0</v>
      </c>
      <c r="M8" s="273">
        <f t="shared" si="4"/>
        <v>0</v>
      </c>
      <c r="N8" s="273">
        <f t="shared" si="5"/>
        <v>0</v>
      </c>
      <c r="O8" s="273">
        <f t="shared" si="6"/>
        <v>0</v>
      </c>
      <c r="P8" s="274">
        <f t="shared" si="7"/>
        <v>0</v>
      </c>
    </row>
    <row r="9" spans="1:16" ht="13.5" customHeight="1">
      <c r="A9" s="350"/>
      <c r="B9" s="350"/>
      <c r="C9" s="350"/>
      <c r="D9" s="350"/>
      <c r="E9" s="350"/>
      <c r="F9" s="350"/>
      <c r="G9" s="546"/>
      <c r="H9" s="350"/>
      <c r="I9" s="350"/>
      <c r="J9" s="350"/>
      <c r="K9" s="350"/>
      <c r="L9" s="350"/>
      <c r="M9" s="350"/>
      <c r="N9" s="350"/>
      <c r="O9" s="350"/>
      <c r="P9" s="350"/>
    </row>
    <row r="10" spans="1:16" ht="12.75">
      <c r="A10" s="261">
        <v>2128047</v>
      </c>
      <c r="B10" s="261" t="s">
        <v>8</v>
      </c>
      <c r="C10" s="272"/>
      <c r="D10" s="242"/>
      <c r="E10" s="242"/>
      <c r="F10" s="243">
        <f t="shared" si="0"/>
        <v>0</v>
      </c>
      <c r="G10" s="547">
        <v>197.99</v>
      </c>
      <c r="H10" s="378">
        <v>169.99</v>
      </c>
      <c r="I10" s="358" t="s">
        <v>3</v>
      </c>
      <c r="J10" s="273">
        <f t="shared" si="1"/>
        <v>0</v>
      </c>
      <c r="K10" s="273">
        <f t="shared" si="2"/>
        <v>0</v>
      </c>
      <c r="L10" s="273">
        <f t="shared" si="3"/>
        <v>0</v>
      </c>
      <c r="M10" s="273">
        <f t="shared" si="4"/>
        <v>0</v>
      </c>
      <c r="N10" s="273">
        <f t="shared" si="5"/>
        <v>0</v>
      </c>
      <c r="O10" s="273">
        <f t="shared" si="6"/>
        <v>0</v>
      </c>
      <c r="P10" s="274">
        <f t="shared" si="7"/>
        <v>0</v>
      </c>
    </row>
    <row r="11" spans="1:16" ht="12.75">
      <c r="A11" s="350"/>
      <c r="B11" s="350"/>
      <c r="C11" s="350"/>
      <c r="D11" s="350"/>
      <c r="E11" s="350"/>
      <c r="F11" s="350"/>
      <c r="G11" s="546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1:16" ht="12.75">
      <c r="A12" s="271">
        <v>2128050</v>
      </c>
      <c r="B12" s="218" t="s">
        <v>9</v>
      </c>
      <c r="C12" s="272"/>
      <c r="D12" s="242"/>
      <c r="E12" s="242"/>
      <c r="F12" s="243">
        <f t="shared" si="0"/>
        <v>0</v>
      </c>
      <c r="G12" s="548">
        <v>203.99</v>
      </c>
      <c r="H12" s="379">
        <v>145</v>
      </c>
      <c r="I12" s="358" t="s">
        <v>3</v>
      </c>
      <c r="J12" s="273">
        <f t="shared" si="1"/>
        <v>0</v>
      </c>
      <c r="K12" s="273">
        <f t="shared" si="2"/>
        <v>0</v>
      </c>
      <c r="L12" s="273">
        <f t="shared" si="3"/>
        <v>0</v>
      </c>
      <c r="M12" s="273">
        <f t="shared" si="4"/>
        <v>0</v>
      </c>
      <c r="N12" s="273">
        <f t="shared" si="5"/>
        <v>0</v>
      </c>
      <c r="O12" s="273">
        <f t="shared" si="6"/>
        <v>0</v>
      </c>
      <c r="P12" s="274">
        <f t="shared" si="7"/>
        <v>0</v>
      </c>
    </row>
    <row r="13" spans="1:16" ht="13.5" customHeight="1">
      <c r="A13" s="380">
        <v>2128052</v>
      </c>
      <c r="B13" s="218" t="s">
        <v>10</v>
      </c>
      <c r="C13" s="272"/>
      <c r="D13" s="242"/>
      <c r="E13" s="242"/>
      <c r="F13" s="243">
        <f t="shared" si="0"/>
        <v>0</v>
      </c>
      <c r="G13" s="548">
        <v>203.99</v>
      </c>
      <c r="H13" s="379">
        <v>145</v>
      </c>
      <c r="I13" s="358" t="s">
        <v>3</v>
      </c>
      <c r="J13" s="273">
        <f t="shared" si="1"/>
        <v>0</v>
      </c>
      <c r="K13" s="273">
        <f t="shared" si="2"/>
        <v>0</v>
      </c>
      <c r="L13" s="273">
        <f t="shared" si="3"/>
        <v>0</v>
      </c>
      <c r="M13" s="273">
        <f t="shared" si="4"/>
        <v>0</v>
      </c>
      <c r="N13" s="273">
        <f t="shared" si="5"/>
        <v>0</v>
      </c>
      <c r="O13" s="273">
        <f t="shared" si="6"/>
        <v>0</v>
      </c>
      <c r="P13" s="274">
        <f t="shared" si="7"/>
        <v>0</v>
      </c>
    </row>
    <row r="14" spans="1:16" ht="12.75">
      <c r="A14" s="350"/>
      <c r="B14" s="350"/>
      <c r="C14" s="350"/>
      <c r="D14" s="350"/>
      <c r="E14" s="350"/>
      <c r="F14" s="350"/>
      <c r="G14" s="546"/>
      <c r="H14" s="350"/>
      <c r="I14" s="350"/>
      <c r="J14" s="350"/>
      <c r="K14" s="350"/>
      <c r="L14" s="350"/>
      <c r="M14" s="350"/>
      <c r="N14" s="350"/>
      <c r="O14" s="350"/>
      <c r="P14" s="350"/>
    </row>
    <row r="15" spans="1:16" ht="12.75">
      <c r="A15" s="350"/>
      <c r="B15" s="350"/>
      <c r="C15" s="350"/>
      <c r="D15" s="350"/>
      <c r="E15" s="350"/>
      <c r="F15" s="350"/>
      <c r="G15" s="546"/>
      <c r="H15" s="350"/>
      <c r="I15" s="350"/>
      <c r="J15" s="350"/>
      <c r="K15" s="350"/>
      <c r="L15" s="350"/>
      <c r="M15" s="350"/>
      <c r="N15" s="350"/>
      <c r="O15" s="350"/>
      <c r="P15" s="350"/>
    </row>
    <row r="16" spans="1:16" ht="13.5" customHeight="1">
      <c r="A16" s="380">
        <v>2128004</v>
      </c>
      <c r="B16" s="218" t="s">
        <v>11</v>
      </c>
      <c r="C16" s="272"/>
      <c r="D16" s="242"/>
      <c r="E16" s="242"/>
      <c r="F16" s="243">
        <f t="shared" si="0"/>
        <v>0</v>
      </c>
      <c r="G16" s="548">
        <v>59.99</v>
      </c>
      <c r="H16" s="379">
        <v>45</v>
      </c>
      <c r="I16" s="358" t="s">
        <v>3</v>
      </c>
      <c r="J16" s="273">
        <f t="shared" si="1"/>
        <v>0</v>
      </c>
      <c r="K16" s="273">
        <f t="shared" si="2"/>
        <v>0</v>
      </c>
      <c r="L16" s="273">
        <f t="shared" si="3"/>
        <v>0</v>
      </c>
      <c r="M16" s="273">
        <f t="shared" si="4"/>
        <v>0</v>
      </c>
      <c r="N16" s="273">
        <f t="shared" si="5"/>
        <v>0</v>
      </c>
      <c r="O16" s="273">
        <f t="shared" si="6"/>
        <v>0</v>
      </c>
      <c r="P16" s="274">
        <f t="shared" si="7"/>
        <v>0</v>
      </c>
    </row>
    <row r="17" spans="1:16" ht="12.75">
      <c r="A17" s="350"/>
      <c r="B17" s="350"/>
      <c r="C17" s="350"/>
      <c r="D17" s="350"/>
      <c r="E17" s="350"/>
      <c r="F17" s="350"/>
      <c r="G17" s="546"/>
      <c r="H17" s="350"/>
      <c r="I17" s="350"/>
      <c r="J17" s="350"/>
      <c r="K17" s="350"/>
      <c r="L17" s="350"/>
      <c r="M17" s="350"/>
      <c r="N17" s="350"/>
      <c r="O17" s="350"/>
      <c r="P17" s="350"/>
    </row>
    <row r="18" spans="1:16" ht="12.75">
      <c r="A18" s="350"/>
      <c r="B18" s="350"/>
      <c r="C18" s="350"/>
      <c r="D18" s="350"/>
      <c r="E18" s="350"/>
      <c r="F18" s="350"/>
      <c r="G18" s="546"/>
      <c r="H18" s="350"/>
      <c r="I18" s="350"/>
      <c r="J18" s="350"/>
      <c r="K18" s="350"/>
      <c r="L18" s="350"/>
      <c r="M18" s="350"/>
      <c r="N18" s="350"/>
      <c r="O18" s="350"/>
      <c r="P18" s="350"/>
    </row>
    <row r="19" spans="1:16" ht="12.75">
      <c r="A19" s="381">
        <v>2128000</v>
      </c>
      <c r="B19" s="271" t="s">
        <v>12</v>
      </c>
      <c r="C19" s="272"/>
      <c r="D19" s="242"/>
      <c r="E19" s="242"/>
      <c r="F19" s="243">
        <f t="shared" si="0"/>
        <v>0</v>
      </c>
      <c r="G19" s="548">
        <v>77.99</v>
      </c>
      <c r="H19" s="379">
        <v>60</v>
      </c>
      <c r="I19" s="358" t="s">
        <v>3</v>
      </c>
      <c r="J19" s="273">
        <f t="shared" si="1"/>
        <v>0</v>
      </c>
      <c r="K19" s="273">
        <f t="shared" si="2"/>
        <v>0</v>
      </c>
      <c r="L19" s="273">
        <f t="shared" si="3"/>
        <v>0</v>
      </c>
      <c r="M19" s="273">
        <f t="shared" si="4"/>
        <v>0</v>
      </c>
      <c r="N19" s="273">
        <f t="shared" si="5"/>
        <v>0</v>
      </c>
      <c r="O19" s="273">
        <f t="shared" si="6"/>
        <v>0</v>
      </c>
      <c r="P19" s="274">
        <f t="shared" si="7"/>
        <v>0</v>
      </c>
    </row>
    <row r="20" spans="1:16" ht="12.75">
      <c r="A20" s="381">
        <v>2128001</v>
      </c>
      <c r="B20" s="271" t="s">
        <v>13</v>
      </c>
      <c r="C20" s="272"/>
      <c r="D20" s="242"/>
      <c r="E20" s="242"/>
      <c r="F20" s="243">
        <f t="shared" si="0"/>
        <v>0</v>
      </c>
      <c r="G20" s="548">
        <v>77.99</v>
      </c>
      <c r="H20" s="379">
        <v>60</v>
      </c>
      <c r="I20" s="358" t="s">
        <v>3</v>
      </c>
      <c r="J20" s="273">
        <f t="shared" si="1"/>
        <v>0</v>
      </c>
      <c r="K20" s="273">
        <f t="shared" si="2"/>
        <v>0</v>
      </c>
      <c r="L20" s="273">
        <f t="shared" si="3"/>
        <v>0</v>
      </c>
      <c r="M20" s="273">
        <f t="shared" si="4"/>
        <v>0</v>
      </c>
      <c r="N20" s="273">
        <f t="shared" si="5"/>
        <v>0</v>
      </c>
      <c r="O20" s="273">
        <f t="shared" si="6"/>
        <v>0</v>
      </c>
      <c r="P20" s="274">
        <f t="shared" si="7"/>
        <v>0</v>
      </c>
    </row>
    <row r="21" spans="1:16" ht="12.75">
      <c r="A21" s="381">
        <v>2128002</v>
      </c>
      <c r="B21" s="271" t="s">
        <v>14</v>
      </c>
      <c r="C21" s="272"/>
      <c r="D21" s="242"/>
      <c r="E21" s="242"/>
      <c r="F21" s="243">
        <f t="shared" si="0"/>
        <v>0</v>
      </c>
      <c r="G21" s="548">
        <v>77.99</v>
      </c>
      <c r="H21" s="379">
        <v>60</v>
      </c>
      <c r="I21" s="358" t="s">
        <v>3</v>
      </c>
      <c r="J21" s="273">
        <f t="shared" si="1"/>
        <v>0</v>
      </c>
      <c r="K21" s="273">
        <f t="shared" si="2"/>
        <v>0</v>
      </c>
      <c r="L21" s="273">
        <f t="shared" si="3"/>
        <v>0</v>
      </c>
      <c r="M21" s="273">
        <f t="shared" si="4"/>
        <v>0</v>
      </c>
      <c r="N21" s="273">
        <f t="shared" si="5"/>
        <v>0</v>
      </c>
      <c r="O21" s="273">
        <f t="shared" si="6"/>
        <v>0</v>
      </c>
      <c r="P21" s="274">
        <f t="shared" si="7"/>
        <v>0</v>
      </c>
    </row>
    <row r="22" spans="1:16" ht="12.75">
      <c r="A22" s="381">
        <v>2128003</v>
      </c>
      <c r="B22" s="271" t="s">
        <v>15</v>
      </c>
      <c r="C22" s="272"/>
      <c r="D22" s="242"/>
      <c r="E22" s="242"/>
      <c r="F22" s="243">
        <f t="shared" si="0"/>
        <v>0</v>
      </c>
      <c r="G22" s="548">
        <v>77.99</v>
      </c>
      <c r="H22" s="379">
        <v>60</v>
      </c>
      <c r="I22" s="358" t="s">
        <v>3</v>
      </c>
      <c r="J22" s="273"/>
      <c r="K22" s="273"/>
      <c r="L22" s="273"/>
      <c r="M22" s="273"/>
      <c r="N22" s="273"/>
      <c r="O22" s="273"/>
      <c r="P22" s="274">
        <f t="shared" si="7"/>
        <v>0</v>
      </c>
    </row>
    <row r="23" spans="1:16" ht="12.75" customHeight="1">
      <c r="A23" s="350"/>
      <c r="B23" s="350"/>
      <c r="C23" s="350"/>
      <c r="D23" s="350"/>
      <c r="E23" s="350"/>
      <c r="F23" s="350"/>
      <c r="G23" s="546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1:16" ht="12.75" customHeight="1">
      <c r="A24" s="350"/>
      <c r="B24" s="350"/>
      <c r="C24" s="350"/>
      <c r="D24" s="350"/>
      <c r="E24" s="350"/>
      <c r="F24" s="350"/>
      <c r="G24" s="546"/>
      <c r="H24" s="350"/>
      <c r="I24" s="350"/>
      <c r="J24" s="350"/>
      <c r="K24" s="350"/>
      <c r="L24" s="350"/>
      <c r="M24" s="350"/>
      <c r="N24" s="350"/>
      <c r="O24" s="350"/>
      <c r="P24" s="350"/>
    </row>
    <row r="25" spans="1:18" ht="12.75">
      <c r="A25" s="381">
        <v>2128012</v>
      </c>
      <c r="B25" s="271" t="s">
        <v>138</v>
      </c>
      <c r="C25" s="272"/>
      <c r="D25" s="242"/>
      <c r="E25" s="242"/>
      <c r="F25" s="243">
        <f t="shared" si="0"/>
        <v>0</v>
      </c>
      <c r="G25" s="548">
        <v>74.99</v>
      </c>
      <c r="H25" s="379">
        <v>54.99</v>
      </c>
      <c r="I25" s="358" t="s">
        <v>3</v>
      </c>
      <c r="J25" s="273">
        <f t="shared" si="1"/>
        <v>0</v>
      </c>
      <c r="K25" s="273">
        <f t="shared" si="2"/>
        <v>0</v>
      </c>
      <c r="L25" s="273">
        <f t="shared" si="3"/>
        <v>0</v>
      </c>
      <c r="M25" s="273">
        <f t="shared" si="4"/>
        <v>0</v>
      </c>
      <c r="N25" s="273">
        <f t="shared" si="5"/>
        <v>0</v>
      </c>
      <c r="O25" s="273">
        <f t="shared" si="6"/>
        <v>0</v>
      </c>
      <c r="P25" s="274">
        <f t="shared" si="7"/>
        <v>0</v>
      </c>
      <c r="R25" s="239"/>
    </row>
    <row r="26" spans="1:18" ht="12.75">
      <c r="A26" s="219">
        <v>2128013</v>
      </c>
      <c r="B26" s="252" t="s">
        <v>139</v>
      </c>
      <c r="C26" s="272"/>
      <c r="D26" s="242"/>
      <c r="E26" s="242"/>
      <c r="F26" s="243">
        <f t="shared" si="0"/>
        <v>0</v>
      </c>
      <c r="G26" s="548">
        <v>74.99</v>
      </c>
      <c r="H26" s="379">
        <v>54.99</v>
      </c>
      <c r="I26" s="358" t="s">
        <v>16</v>
      </c>
      <c r="J26" s="273">
        <f t="shared" si="1"/>
        <v>0</v>
      </c>
      <c r="K26" s="273">
        <f t="shared" si="2"/>
        <v>0</v>
      </c>
      <c r="L26" s="273">
        <f t="shared" si="3"/>
        <v>0</v>
      </c>
      <c r="M26" s="273">
        <f t="shared" si="4"/>
        <v>0</v>
      </c>
      <c r="N26" s="273">
        <f t="shared" si="5"/>
        <v>0</v>
      </c>
      <c r="O26" s="273">
        <f t="shared" si="6"/>
        <v>0</v>
      </c>
      <c r="P26" s="274">
        <f t="shared" si="7"/>
        <v>0</v>
      </c>
      <c r="R26" s="239"/>
    </row>
    <row r="27" spans="1:16" ht="12.75">
      <c r="A27" s="382"/>
      <c r="B27" s="220" t="s">
        <v>17</v>
      </c>
      <c r="C27" s="383">
        <f>SUM(C4:C26)</f>
        <v>0</v>
      </c>
      <c r="D27" s="383">
        <f aca="true" t="shared" si="8" ref="D27:P27">SUM(D4:D26)</f>
        <v>0</v>
      </c>
      <c r="E27" s="383">
        <f t="shared" si="8"/>
        <v>0</v>
      </c>
      <c r="F27" s="383">
        <f t="shared" si="8"/>
        <v>0</v>
      </c>
      <c r="G27" s="549"/>
      <c r="H27" s="383"/>
      <c r="I27" s="383"/>
      <c r="J27" s="383">
        <f t="shared" si="8"/>
        <v>0</v>
      </c>
      <c r="K27" s="383">
        <f t="shared" si="8"/>
        <v>0</v>
      </c>
      <c r="L27" s="383">
        <f t="shared" si="8"/>
        <v>0</v>
      </c>
      <c r="M27" s="383">
        <f t="shared" si="8"/>
        <v>0</v>
      </c>
      <c r="N27" s="383">
        <f t="shared" si="8"/>
        <v>0</v>
      </c>
      <c r="O27" s="383">
        <f t="shared" si="8"/>
        <v>0</v>
      </c>
      <c r="P27" s="383">
        <f t="shared" si="8"/>
        <v>0</v>
      </c>
    </row>
    <row r="28" spans="1:16" ht="13.5" customHeight="1">
      <c r="A28" s="384"/>
      <c r="B28" s="385"/>
      <c r="C28" s="385"/>
      <c r="D28" s="385"/>
      <c r="E28" s="385"/>
      <c r="F28" s="385"/>
      <c r="G28" s="550"/>
      <c r="H28" s="385"/>
      <c r="I28" s="385"/>
      <c r="J28" s="385"/>
      <c r="K28" s="385"/>
      <c r="L28" s="385"/>
      <c r="M28" s="385"/>
      <c r="N28" s="385"/>
      <c r="O28" s="385"/>
      <c r="P28" s="386"/>
    </row>
    <row r="29" ht="13.5" customHeight="1"/>
    <row r="30" ht="14.25" customHeight="1"/>
    <row r="31" ht="15.75" customHeight="1"/>
    <row r="32" ht="15" customHeight="1"/>
    <row r="33" ht="15" customHeight="1"/>
    <row r="35" ht="12.75" customHeight="1"/>
    <row r="36" ht="12.75" customHeight="1"/>
    <row r="37" ht="12.75" customHeight="1"/>
    <row r="38" ht="13.5" customHeight="1"/>
    <row r="39" ht="13.5" customHeight="1"/>
    <row r="40" ht="14.25" customHeight="1"/>
    <row r="41" ht="21.75" customHeight="1"/>
    <row r="42" ht="12" customHeight="1"/>
    <row r="43" ht="14.25" customHeight="1"/>
    <row r="44" ht="14.25" customHeight="1"/>
    <row r="54" ht="13.5" customHeight="1"/>
    <row r="55" ht="11.25" customHeight="1"/>
    <row r="56" ht="7.5" customHeight="1"/>
    <row r="68" ht="7.5" customHeight="1"/>
  </sheetData>
  <sheetProtection/>
  <mergeCells count="1">
    <mergeCell ref="A2:P2"/>
  </mergeCells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RowColHeaders="0" zoomScalePageLayoutView="0" workbookViewId="0" topLeftCell="A1">
      <selection activeCell="R8" sqref="R8"/>
    </sheetView>
  </sheetViews>
  <sheetFormatPr defaultColWidth="8.8515625" defaultRowHeight="12.75"/>
  <cols>
    <col min="1" max="1" width="9.421875" style="0" customWidth="1"/>
    <col min="2" max="2" width="24.8515625" style="0" customWidth="1"/>
    <col min="3" max="3" width="6.8515625" style="0" customWidth="1"/>
    <col min="4" max="4" width="6.7109375" style="0" customWidth="1"/>
    <col min="5" max="5" width="6.28125" style="0" customWidth="1"/>
    <col min="6" max="6" width="8.421875" style="0" customWidth="1"/>
    <col min="7" max="7" width="8.421875" style="526" customWidth="1"/>
    <col min="8" max="8" width="13.00390625" style="0" hidden="1" customWidth="1"/>
    <col min="9" max="9" width="12.7109375" style="0" customWidth="1"/>
    <col min="10" max="15" width="10.140625" style="0" hidden="1" customWidth="1"/>
    <col min="16" max="16" width="10.8515625" style="0" bestFit="1" customWidth="1"/>
  </cols>
  <sheetData>
    <row r="1" spans="1:18" s="208" customFormat="1" ht="13.5" customHeight="1" thickBot="1">
      <c r="A1" s="290" t="s">
        <v>315</v>
      </c>
      <c r="B1" s="291" t="s">
        <v>316</v>
      </c>
      <c r="C1" s="292" t="s">
        <v>342</v>
      </c>
      <c r="D1" s="292" t="s">
        <v>343</v>
      </c>
      <c r="E1" s="292" t="s">
        <v>344</v>
      </c>
      <c r="F1" s="293" t="s">
        <v>345</v>
      </c>
      <c r="G1" s="529" t="s">
        <v>498</v>
      </c>
      <c r="H1" s="294" t="s">
        <v>473</v>
      </c>
      <c r="I1" s="295" t="s">
        <v>499</v>
      </c>
      <c r="J1" s="291" t="s">
        <v>464</v>
      </c>
      <c r="K1" s="291" t="s">
        <v>465</v>
      </c>
      <c r="L1" s="291" t="s">
        <v>466</v>
      </c>
      <c r="M1" s="291" t="s">
        <v>467</v>
      </c>
      <c r="N1" s="291" t="s">
        <v>468</v>
      </c>
      <c r="O1" s="291" t="s">
        <v>469</v>
      </c>
      <c r="P1" s="296" t="s">
        <v>318</v>
      </c>
      <c r="Q1" s="207"/>
      <c r="R1" s="207"/>
    </row>
    <row r="2" spans="1:16" ht="18" customHeight="1">
      <c r="A2" s="708" t="s">
        <v>18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ht="12.75" customHeight="1">
      <c r="A3" s="363">
        <v>2115596</v>
      </c>
      <c r="B3" s="363" t="s">
        <v>396</v>
      </c>
      <c r="C3" s="242"/>
      <c r="D3" s="242"/>
      <c r="E3" s="242"/>
      <c r="F3" s="243">
        <f>SUM(C3:E3)</f>
        <v>0</v>
      </c>
      <c r="G3" s="523">
        <f>SUM(I3*0.6)</f>
        <v>299.99399999999997</v>
      </c>
      <c r="H3" s="245">
        <f>G3*(1-'Dealer Inputs'!$H$22)*(1-'Dealer Inputs'!$L$22)</f>
        <v>224.9955</v>
      </c>
      <c r="I3" s="262">
        <v>499.99</v>
      </c>
      <c r="J3" s="273">
        <f>SUM(C3*$G3)</f>
        <v>0</v>
      </c>
      <c r="K3" s="273">
        <f aca="true" t="shared" si="0" ref="K3:L26">SUM(D3*$G3)</f>
        <v>0</v>
      </c>
      <c r="L3" s="273">
        <f t="shared" si="0"/>
        <v>0</v>
      </c>
      <c r="M3" s="273">
        <f>SUM(C3*$H3)</f>
        <v>0</v>
      </c>
      <c r="N3" s="273">
        <f>SUM(D3*$H3)</f>
        <v>0</v>
      </c>
      <c r="O3" s="273">
        <f>SUM(E3*$H3)</f>
        <v>0</v>
      </c>
      <c r="P3" s="274">
        <f aca="true" t="shared" si="1" ref="P3:P29">H3*F3</f>
        <v>0</v>
      </c>
    </row>
    <row r="4" spans="1:16" ht="12.75" customHeight="1">
      <c r="A4" s="365">
        <v>2115595</v>
      </c>
      <c r="B4" s="363" t="s">
        <v>395</v>
      </c>
      <c r="C4" s="242"/>
      <c r="D4" s="242"/>
      <c r="E4" s="242"/>
      <c r="F4" s="243">
        <f aca="true" t="shared" si="2" ref="F4:F29">SUM(C4:E4)</f>
        <v>0</v>
      </c>
      <c r="G4" s="523">
        <f aca="true" t="shared" si="3" ref="G4:G26">SUM(I4*0.6)</f>
        <v>209.994</v>
      </c>
      <c r="H4" s="245">
        <f>G4*(1-'Dealer Inputs'!$H$22)*(1-'Dealer Inputs'!$L$22)</f>
        <v>157.4955</v>
      </c>
      <c r="I4" s="262">
        <v>349.99</v>
      </c>
      <c r="J4" s="273">
        <f aca="true" t="shared" si="4" ref="J4:J28">SUM(C4*$G4)</f>
        <v>0</v>
      </c>
      <c r="K4" s="273">
        <f t="shared" si="0"/>
        <v>0</v>
      </c>
      <c r="L4" s="273">
        <f t="shared" si="0"/>
        <v>0</v>
      </c>
      <c r="M4" s="273">
        <f aca="true" t="shared" si="5" ref="M4:M28">SUM(C4*$H4)</f>
        <v>0</v>
      </c>
      <c r="N4" s="273">
        <f aca="true" t="shared" si="6" ref="N4:N28">SUM(D4*$H4)</f>
        <v>0</v>
      </c>
      <c r="O4" s="273">
        <f aca="true" t="shared" si="7" ref="O4:O28">SUM(E4*$H4)</f>
        <v>0</v>
      </c>
      <c r="P4" s="274">
        <f t="shared" si="1"/>
        <v>0</v>
      </c>
    </row>
    <row r="5" spans="1:16" ht="4.5" customHeight="1">
      <c r="A5" s="365"/>
      <c r="B5" s="363"/>
      <c r="C5" s="242"/>
      <c r="D5" s="242"/>
      <c r="E5" s="242"/>
      <c r="F5" s="243"/>
      <c r="G5" s="523"/>
      <c r="H5" s="245"/>
      <c r="I5" s="262"/>
      <c r="J5" s="273"/>
      <c r="K5" s="273"/>
      <c r="L5" s="273"/>
      <c r="M5" s="273"/>
      <c r="N5" s="273"/>
      <c r="O5" s="273"/>
      <c r="P5" s="274"/>
    </row>
    <row r="6" spans="1:16" ht="12.75">
      <c r="A6" s="365">
        <v>2115601</v>
      </c>
      <c r="B6" s="363" t="s">
        <v>401</v>
      </c>
      <c r="C6" s="242"/>
      <c r="D6" s="242"/>
      <c r="E6" s="242"/>
      <c r="F6" s="243">
        <f t="shared" si="2"/>
        <v>0</v>
      </c>
      <c r="G6" s="523">
        <f t="shared" si="3"/>
        <v>239.994</v>
      </c>
      <c r="H6" s="245">
        <f>G6*(1-'Dealer Inputs'!$H$22)*(1-'Dealer Inputs'!$L$22)</f>
        <v>179.9955</v>
      </c>
      <c r="I6" s="262">
        <v>399.99</v>
      </c>
      <c r="J6" s="273">
        <f t="shared" si="4"/>
        <v>0</v>
      </c>
      <c r="K6" s="273">
        <f t="shared" si="0"/>
        <v>0</v>
      </c>
      <c r="L6" s="273">
        <f t="shared" si="0"/>
        <v>0</v>
      </c>
      <c r="M6" s="273">
        <f t="shared" si="5"/>
        <v>0</v>
      </c>
      <c r="N6" s="273">
        <f t="shared" si="6"/>
        <v>0</v>
      </c>
      <c r="O6" s="273">
        <f t="shared" si="7"/>
        <v>0</v>
      </c>
      <c r="P6" s="274">
        <f t="shared" si="1"/>
        <v>0</v>
      </c>
    </row>
    <row r="7" spans="1:16" ht="3" customHeight="1">
      <c r="A7" s="365"/>
      <c r="B7" s="363"/>
      <c r="C7" s="242"/>
      <c r="D7" s="242"/>
      <c r="E7" s="242"/>
      <c r="F7" s="243"/>
      <c r="G7" s="523"/>
      <c r="H7" s="245"/>
      <c r="I7" s="262"/>
      <c r="J7" s="273"/>
      <c r="K7" s="273"/>
      <c r="L7" s="273"/>
      <c r="M7" s="273"/>
      <c r="N7" s="273"/>
      <c r="O7" s="273"/>
      <c r="P7" s="274"/>
    </row>
    <row r="8" spans="1:16" ht="12.75">
      <c r="A8" s="363">
        <v>2115602</v>
      </c>
      <c r="B8" s="363" t="s">
        <v>458</v>
      </c>
      <c r="C8" s="242"/>
      <c r="D8" s="242"/>
      <c r="E8" s="242"/>
      <c r="F8" s="243">
        <f t="shared" si="2"/>
        <v>0</v>
      </c>
      <c r="G8" s="523">
        <f t="shared" si="3"/>
        <v>209.994</v>
      </c>
      <c r="H8" s="245">
        <f>G8*(1-'Dealer Inputs'!$H$22)*(1-'Dealer Inputs'!$L$22)</f>
        <v>157.4955</v>
      </c>
      <c r="I8" s="262">
        <v>349.99</v>
      </c>
      <c r="J8" s="273">
        <f t="shared" si="4"/>
        <v>0</v>
      </c>
      <c r="K8" s="273">
        <f t="shared" si="0"/>
        <v>0</v>
      </c>
      <c r="L8" s="273">
        <f t="shared" si="0"/>
        <v>0</v>
      </c>
      <c r="M8" s="273">
        <f t="shared" si="5"/>
        <v>0</v>
      </c>
      <c r="N8" s="273">
        <f t="shared" si="6"/>
        <v>0</v>
      </c>
      <c r="O8" s="273">
        <f t="shared" si="7"/>
        <v>0</v>
      </c>
      <c r="P8" s="274">
        <f t="shared" si="1"/>
        <v>0</v>
      </c>
    </row>
    <row r="9" spans="1:16" ht="6.75" customHeight="1">
      <c r="A9" s="363"/>
      <c r="B9" s="363"/>
      <c r="C9" s="242"/>
      <c r="D9" s="242"/>
      <c r="E9" s="242"/>
      <c r="F9" s="243"/>
      <c r="G9" s="523"/>
      <c r="H9" s="245"/>
      <c r="I9" s="262"/>
      <c r="J9" s="273"/>
      <c r="K9" s="273"/>
      <c r="L9" s="273"/>
      <c r="M9" s="273"/>
      <c r="N9" s="273"/>
      <c r="O9" s="273"/>
      <c r="P9" s="274"/>
    </row>
    <row r="10" spans="1:16" ht="13.5" customHeight="1">
      <c r="A10" s="363">
        <v>2115600</v>
      </c>
      <c r="B10" s="363" t="s">
        <v>400</v>
      </c>
      <c r="C10" s="242"/>
      <c r="D10" s="242"/>
      <c r="E10" s="242"/>
      <c r="F10" s="243">
        <f t="shared" si="2"/>
        <v>0</v>
      </c>
      <c r="G10" s="523">
        <f t="shared" si="3"/>
        <v>191.994</v>
      </c>
      <c r="H10" s="245">
        <f>G10*(1-'Dealer Inputs'!$H$22)*(1-'Dealer Inputs'!$L$22)</f>
        <v>143.9955</v>
      </c>
      <c r="I10" s="262">
        <v>319.99</v>
      </c>
      <c r="J10" s="273">
        <f t="shared" si="4"/>
        <v>0</v>
      </c>
      <c r="K10" s="273">
        <f t="shared" si="0"/>
        <v>0</v>
      </c>
      <c r="L10" s="273">
        <f t="shared" si="0"/>
        <v>0</v>
      </c>
      <c r="M10" s="273">
        <f t="shared" si="5"/>
        <v>0</v>
      </c>
      <c r="N10" s="273">
        <f t="shared" si="6"/>
        <v>0</v>
      </c>
      <c r="O10" s="273">
        <f t="shared" si="7"/>
        <v>0</v>
      </c>
      <c r="P10" s="274">
        <f t="shared" si="1"/>
        <v>0</v>
      </c>
    </row>
    <row r="11" spans="1:16" ht="12.75">
      <c r="A11" s="365">
        <v>2115599</v>
      </c>
      <c r="B11" s="363" t="s">
        <v>399</v>
      </c>
      <c r="C11" s="242"/>
      <c r="D11" s="242"/>
      <c r="E11" s="242"/>
      <c r="F11" s="243">
        <f t="shared" si="2"/>
        <v>0</v>
      </c>
      <c r="G11" s="523">
        <f t="shared" si="3"/>
        <v>149.994</v>
      </c>
      <c r="H11" s="245">
        <f>G11*(1-'Dealer Inputs'!$H$22)*(1-'Dealer Inputs'!$L$22)</f>
        <v>112.49549999999999</v>
      </c>
      <c r="I11" s="262">
        <v>249.99</v>
      </c>
      <c r="J11" s="273">
        <f t="shared" si="4"/>
        <v>0</v>
      </c>
      <c r="K11" s="273">
        <f t="shared" si="0"/>
        <v>0</v>
      </c>
      <c r="L11" s="273">
        <f t="shared" si="0"/>
        <v>0</v>
      </c>
      <c r="M11" s="273">
        <f t="shared" si="5"/>
        <v>0</v>
      </c>
      <c r="N11" s="273">
        <f t="shared" si="6"/>
        <v>0</v>
      </c>
      <c r="O11" s="273">
        <f t="shared" si="7"/>
        <v>0</v>
      </c>
      <c r="P11" s="274">
        <f t="shared" si="1"/>
        <v>0</v>
      </c>
    </row>
    <row r="12" spans="1:16" ht="7.5" customHeight="1">
      <c r="A12" s="365"/>
      <c r="B12" s="363"/>
      <c r="C12" s="242"/>
      <c r="D12" s="242"/>
      <c r="E12" s="242"/>
      <c r="F12" s="243"/>
      <c r="G12" s="523"/>
      <c r="H12" s="245"/>
      <c r="I12" s="262"/>
      <c r="J12" s="273"/>
      <c r="K12" s="273"/>
      <c r="L12" s="273"/>
      <c r="M12" s="273"/>
      <c r="N12" s="273"/>
      <c r="O12" s="273"/>
      <c r="P12" s="274"/>
    </row>
    <row r="13" spans="1:16" ht="12.75">
      <c r="A13" s="387" t="s">
        <v>283</v>
      </c>
      <c r="B13" s="388" t="s">
        <v>284</v>
      </c>
      <c r="C13" s="242"/>
      <c r="D13" s="242"/>
      <c r="E13" s="242"/>
      <c r="F13" s="243">
        <f t="shared" si="2"/>
        <v>0</v>
      </c>
      <c r="G13" s="523">
        <f t="shared" si="3"/>
        <v>149.994</v>
      </c>
      <c r="H13" s="245">
        <f>G13*(1-'Dealer Inputs'!$H$22)*(1-'Dealer Inputs'!$L$22)</f>
        <v>112.49549999999999</v>
      </c>
      <c r="I13" s="262">
        <v>249.99</v>
      </c>
      <c r="J13" s="273">
        <f t="shared" si="4"/>
        <v>0</v>
      </c>
      <c r="K13" s="273">
        <f t="shared" si="0"/>
        <v>0</v>
      </c>
      <c r="L13" s="273">
        <f t="shared" si="0"/>
        <v>0</v>
      </c>
      <c r="M13" s="273">
        <f t="shared" si="5"/>
        <v>0</v>
      </c>
      <c r="N13" s="273">
        <f t="shared" si="6"/>
        <v>0</v>
      </c>
      <c r="O13" s="273">
        <f t="shared" si="7"/>
        <v>0</v>
      </c>
      <c r="P13" s="274">
        <f t="shared" si="1"/>
        <v>0</v>
      </c>
    </row>
    <row r="14" spans="1:16" ht="12.75">
      <c r="A14" s="387" t="s">
        <v>285</v>
      </c>
      <c r="B14" s="388" t="s">
        <v>286</v>
      </c>
      <c r="C14" s="242"/>
      <c r="D14" s="242"/>
      <c r="E14" s="242"/>
      <c r="F14" s="243">
        <f t="shared" si="2"/>
        <v>0</v>
      </c>
      <c r="G14" s="523">
        <f t="shared" si="3"/>
        <v>113.994</v>
      </c>
      <c r="H14" s="245">
        <f>G14*(1-'Dealer Inputs'!$H$22)*(1-'Dealer Inputs'!$L$22)</f>
        <v>85.49549999999999</v>
      </c>
      <c r="I14" s="262">
        <v>189.99</v>
      </c>
      <c r="J14" s="273">
        <f t="shared" si="4"/>
        <v>0</v>
      </c>
      <c r="K14" s="273">
        <f t="shared" si="0"/>
        <v>0</v>
      </c>
      <c r="L14" s="273">
        <f t="shared" si="0"/>
        <v>0</v>
      </c>
      <c r="M14" s="273">
        <f t="shared" si="5"/>
        <v>0</v>
      </c>
      <c r="N14" s="273">
        <f t="shared" si="6"/>
        <v>0</v>
      </c>
      <c r="O14" s="273">
        <f t="shared" si="7"/>
        <v>0</v>
      </c>
      <c r="P14" s="274">
        <f t="shared" si="1"/>
        <v>0</v>
      </c>
    </row>
    <row r="15" spans="1:16" ht="12.75">
      <c r="A15" s="387" t="s">
        <v>287</v>
      </c>
      <c r="B15" s="388" t="s">
        <v>288</v>
      </c>
      <c r="C15" s="242"/>
      <c r="D15" s="242"/>
      <c r="E15" s="242"/>
      <c r="F15" s="243">
        <f t="shared" si="2"/>
        <v>0</v>
      </c>
      <c r="G15" s="523">
        <f t="shared" si="3"/>
        <v>83.994</v>
      </c>
      <c r="H15" s="245">
        <f>G15*(1-'Dealer Inputs'!$H$22)*(1-'Dealer Inputs'!$L$22)</f>
        <v>62.9955</v>
      </c>
      <c r="I15" s="262">
        <v>139.99</v>
      </c>
      <c r="J15" s="273">
        <f t="shared" si="4"/>
        <v>0</v>
      </c>
      <c r="K15" s="273">
        <f t="shared" si="0"/>
        <v>0</v>
      </c>
      <c r="L15" s="273">
        <f t="shared" si="0"/>
        <v>0</v>
      </c>
      <c r="M15" s="273">
        <f t="shared" si="5"/>
        <v>0</v>
      </c>
      <c r="N15" s="273">
        <f t="shared" si="6"/>
        <v>0</v>
      </c>
      <c r="O15" s="273">
        <f t="shared" si="7"/>
        <v>0</v>
      </c>
      <c r="P15" s="274">
        <f t="shared" si="1"/>
        <v>0</v>
      </c>
    </row>
    <row r="16" spans="1:16" ht="6" customHeight="1">
      <c r="A16" s="387"/>
      <c r="B16" s="388"/>
      <c r="C16" s="242"/>
      <c r="D16" s="242"/>
      <c r="E16" s="242"/>
      <c r="F16" s="243"/>
      <c r="G16" s="523"/>
      <c r="H16" s="245"/>
      <c r="I16" s="262"/>
      <c r="J16" s="273"/>
      <c r="K16" s="273"/>
      <c r="L16" s="273"/>
      <c r="M16" s="273"/>
      <c r="N16" s="273"/>
      <c r="O16" s="273"/>
      <c r="P16" s="274"/>
    </row>
    <row r="17" spans="1:16" ht="12.75">
      <c r="A17" s="363">
        <v>2115598</v>
      </c>
      <c r="B17" s="363" t="s">
        <v>398</v>
      </c>
      <c r="C17" s="242"/>
      <c r="D17" s="242"/>
      <c r="E17" s="242"/>
      <c r="F17" s="243">
        <f t="shared" si="2"/>
        <v>0</v>
      </c>
      <c r="G17" s="523">
        <f t="shared" si="3"/>
        <v>131.994</v>
      </c>
      <c r="H17" s="245">
        <f>G17*(1-'Dealer Inputs'!$H$22)*(1-'Dealer Inputs'!$L$22)</f>
        <v>98.99549999999999</v>
      </c>
      <c r="I17" s="262">
        <v>219.99</v>
      </c>
      <c r="J17" s="273">
        <f t="shared" si="4"/>
        <v>0</v>
      </c>
      <c r="K17" s="273">
        <f t="shared" si="0"/>
        <v>0</v>
      </c>
      <c r="L17" s="273">
        <f t="shared" si="0"/>
        <v>0</v>
      </c>
      <c r="M17" s="273">
        <f t="shared" si="5"/>
        <v>0</v>
      </c>
      <c r="N17" s="273">
        <f t="shared" si="6"/>
        <v>0</v>
      </c>
      <c r="O17" s="273">
        <f t="shared" si="7"/>
        <v>0</v>
      </c>
      <c r="P17" s="274">
        <f t="shared" si="1"/>
        <v>0</v>
      </c>
    </row>
    <row r="18" spans="1:16" ht="13.5" customHeight="1">
      <c r="A18" s="365">
        <v>2115597</v>
      </c>
      <c r="B18" s="363" t="s">
        <v>397</v>
      </c>
      <c r="C18" s="242"/>
      <c r="D18" s="242"/>
      <c r="E18" s="242"/>
      <c r="F18" s="243">
        <f t="shared" si="2"/>
        <v>0</v>
      </c>
      <c r="G18" s="523">
        <f t="shared" si="3"/>
        <v>101.994</v>
      </c>
      <c r="H18" s="245">
        <f>G18*(1-'Dealer Inputs'!$H$22)*(1-'Dealer Inputs'!$L$22)</f>
        <v>76.49549999999999</v>
      </c>
      <c r="I18" s="262">
        <v>169.99</v>
      </c>
      <c r="J18" s="273">
        <f t="shared" si="4"/>
        <v>0</v>
      </c>
      <c r="K18" s="273">
        <f t="shared" si="0"/>
        <v>0</v>
      </c>
      <c r="L18" s="273">
        <f t="shared" si="0"/>
        <v>0</v>
      </c>
      <c r="M18" s="273">
        <f t="shared" si="5"/>
        <v>0</v>
      </c>
      <c r="N18" s="273">
        <f t="shared" si="6"/>
        <v>0</v>
      </c>
      <c r="O18" s="273">
        <f t="shared" si="7"/>
        <v>0</v>
      </c>
      <c r="P18" s="274">
        <f t="shared" si="1"/>
        <v>0</v>
      </c>
    </row>
    <row r="19" spans="1:16" ht="4.5" customHeight="1">
      <c r="A19" s="365"/>
      <c r="B19" s="363"/>
      <c r="C19" s="242"/>
      <c r="D19" s="242"/>
      <c r="E19" s="242"/>
      <c r="F19" s="243"/>
      <c r="G19" s="523"/>
      <c r="H19" s="245"/>
      <c r="I19" s="262"/>
      <c r="J19" s="273"/>
      <c r="K19" s="273"/>
      <c r="L19" s="273"/>
      <c r="M19" s="273"/>
      <c r="N19" s="273"/>
      <c r="O19" s="273"/>
      <c r="P19" s="274"/>
    </row>
    <row r="20" spans="1:16" ht="12.75">
      <c r="A20" s="365">
        <v>2115591</v>
      </c>
      <c r="B20" s="363" t="s">
        <v>394</v>
      </c>
      <c r="C20" s="242"/>
      <c r="D20" s="242"/>
      <c r="E20" s="242"/>
      <c r="F20" s="243">
        <f t="shared" si="2"/>
        <v>0</v>
      </c>
      <c r="G20" s="523">
        <f t="shared" si="3"/>
        <v>59.99399999999999</v>
      </c>
      <c r="H20" s="245">
        <f>G20*(1-'Dealer Inputs'!$H$22)*(1-'Dealer Inputs'!$L$22)</f>
        <v>44.99549999999999</v>
      </c>
      <c r="I20" s="262">
        <v>99.99</v>
      </c>
      <c r="J20" s="273">
        <f t="shared" si="4"/>
        <v>0</v>
      </c>
      <c r="K20" s="273">
        <f t="shared" si="0"/>
        <v>0</v>
      </c>
      <c r="L20" s="273">
        <f t="shared" si="0"/>
        <v>0</v>
      </c>
      <c r="M20" s="273">
        <f t="shared" si="5"/>
        <v>0</v>
      </c>
      <c r="N20" s="273">
        <f t="shared" si="6"/>
        <v>0</v>
      </c>
      <c r="O20" s="273">
        <f t="shared" si="7"/>
        <v>0</v>
      </c>
      <c r="P20" s="274">
        <f t="shared" si="1"/>
        <v>0</v>
      </c>
    </row>
    <row r="21" spans="1:16" ht="4.5" customHeight="1">
      <c r="A21" s="365"/>
      <c r="B21" s="363"/>
      <c r="C21" s="242"/>
      <c r="D21" s="242"/>
      <c r="E21" s="242"/>
      <c r="F21" s="243"/>
      <c r="G21" s="523"/>
      <c r="H21" s="245"/>
      <c r="I21" s="262"/>
      <c r="J21" s="273"/>
      <c r="K21" s="273"/>
      <c r="L21" s="273"/>
      <c r="M21" s="273"/>
      <c r="N21" s="273"/>
      <c r="O21" s="273"/>
      <c r="P21" s="274"/>
    </row>
    <row r="22" spans="1:16" ht="12.75">
      <c r="A22" s="363">
        <v>2115590</v>
      </c>
      <c r="B22" s="363" t="s">
        <v>384</v>
      </c>
      <c r="C22" s="242"/>
      <c r="D22" s="242"/>
      <c r="E22" s="242"/>
      <c r="F22" s="243">
        <f t="shared" si="2"/>
        <v>0</v>
      </c>
      <c r="G22" s="523">
        <f t="shared" si="3"/>
        <v>47.99399999999999</v>
      </c>
      <c r="H22" s="245">
        <f>G22*(1-'Dealer Inputs'!$H$22)*(1-'Dealer Inputs'!$L$22)</f>
        <v>35.99549999999999</v>
      </c>
      <c r="I22" s="262">
        <v>79.99</v>
      </c>
      <c r="J22" s="273">
        <f t="shared" si="4"/>
        <v>0</v>
      </c>
      <c r="K22" s="273">
        <f t="shared" si="0"/>
        <v>0</v>
      </c>
      <c r="L22" s="273">
        <f t="shared" si="0"/>
        <v>0</v>
      </c>
      <c r="M22" s="273">
        <f t="shared" si="5"/>
        <v>0</v>
      </c>
      <c r="N22" s="273">
        <f t="shared" si="6"/>
        <v>0</v>
      </c>
      <c r="O22" s="273">
        <f t="shared" si="7"/>
        <v>0</v>
      </c>
      <c r="P22" s="274">
        <f t="shared" si="1"/>
        <v>0</v>
      </c>
    </row>
    <row r="23" spans="1:16" ht="4.5" customHeight="1">
      <c r="A23" s="363"/>
      <c r="B23" s="363"/>
      <c r="C23" s="242"/>
      <c r="D23" s="242"/>
      <c r="E23" s="242"/>
      <c r="F23" s="243"/>
      <c r="G23" s="523"/>
      <c r="H23" s="245"/>
      <c r="I23" s="262"/>
      <c r="J23" s="273"/>
      <c r="K23" s="273"/>
      <c r="L23" s="273"/>
      <c r="M23" s="273"/>
      <c r="N23" s="273"/>
      <c r="O23" s="273"/>
      <c r="P23" s="274"/>
    </row>
    <row r="24" spans="1:16" ht="12.75">
      <c r="A24" s="365">
        <v>2105568</v>
      </c>
      <c r="B24" s="367" t="s">
        <v>459</v>
      </c>
      <c r="C24" s="242"/>
      <c r="D24" s="242"/>
      <c r="E24" s="242"/>
      <c r="F24" s="243">
        <f t="shared" si="2"/>
        <v>0</v>
      </c>
      <c r="G24" s="523">
        <f t="shared" si="3"/>
        <v>17.994</v>
      </c>
      <c r="H24" s="245">
        <f>G24*(1-'Dealer Inputs'!$H$22)*(1-'Dealer Inputs'!$L$22)</f>
        <v>13.4955</v>
      </c>
      <c r="I24" s="389">
        <v>29.99</v>
      </c>
      <c r="J24" s="273">
        <f t="shared" si="4"/>
        <v>0</v>
      </c>
      <c r="K24" s="273">
        <f t="shared" si="0"/>
        <v>0</v>
      </c>
      <c r="L24" s="273">
        <f t="shared" si="0"/>
        <v>0</v>
      </c>
      <c r="M24" s="273">
        <f t="shared" si="5"/>
        <v>0</v>
      </c>
      <c r="N24" s="273">
        <f t="shared" si="6"/>
        <v>0</v>
      </c>
      <c r="O24" s="273">
        <f t="shared" si="7"/>
        <v>0</v>
      </c>
      <c r="P24" s="274">
        <f t="shared" si="1"/>
        <v>0</v>
      </c>
    </row>
    <row r="25" spans="1:16" ht="12.75">
      <c r="A25" s="365">
        <v>2105569</v>
      </c>
      <c r="B25" s="367" t="s">
        <v>460</v>
      </c>
      <c r="C25" s="242"/>
      <c r="D25" s="242"/>
      <c r="E25" s="242"/>
      <c r="F25" s="243">
        <f t="shared" si="2"/>
        <v>0</v>
      </c>
      <c r="G25" s="523">
        <f t="shared" si="3"/>
        <v>29.994</v>
      </c>
      <c r="H25" s="245">
        <f>G25*(1-'Dealer Inputs'!$H$22)*(1-'Dealer Inputs'!$L$22)</f>
        <v>22.4955</v>
      </c>
      <c r="I25" s="389">
        <v>49.99</v>
      </c>
      <c r="J25" s="273">
        <f t="shared" si="4"/>
        <v>0</v>
      </c>
      <c r="K25" s="273">
        <f t="shared" si="0"/>
        <v>0</v>
      </c>
      <c r="L25" s="273">
        <f t="shared" si="0"/>
        <v>0</v>
      </c>
      <c r="M25" s="273">
        <f t="shared" si="5"/>
        <v>0</v>
      </c>
      <c r="N25" s="273">
        <f t="shared" si="6"/>
        <v>0</v>
      </c>
      <c r="O25" s="273">
        <f t="shared" si="7"/>
        <v>0</v>
      </c>
      <c r="P25" s="274">
        <f t="shared" si="1"/>
        <v>0</v>
      </c>
    </row>
    <row r="26" spans="1:16" ht="12.75">
      <c r="A26" s="365">
        <v>2105570</v>
      </c>
      <c r="B26" s="367" t="s">
        <v>461</v>
      </c>
      <c r="C26" s="242"/>
      <c r="D26" s="242"/>
      <c r="E26" s="242"/>
      <c r="F26" s="243">
        <f t="shared" si="2"/>
        <v>0</v>
      </c>
      <c r="G26" s="523">
        <f t="shared" si="3"/>
        <v>47.99399999999999</v>
      </c>
      <c r="H26" s="245">
        <f>G26*(1-'Dealer Inputs'!$H$22)*(1-'Dealer Inputs'!$L$22)</f>
        <v>35.99549999999999</v>
      </c>
      <c r="I26" s="389">
        <v>79.99</v>
      </c>
      <c r="J26" s="273">
        <f t="shared" si="4"/>
        <v>0</v>
      </c>
      <c r="K26" s="273">
        <f t="shared" si="0"/>
        <v>0</v>
      </c>
      <c r="L26" s="273">
        <f t="shared" si="0"/>
        <v>0</v>
      </c>
      <c r="M26" s="273">
        <f t="shared" si="5"/>
        <v>0</v>
      </c>
      <c r="N26" s="273">
        <f t="shared" si="6"/>
        <v>0</v>
      </c>
      <c r="O26" s="273">
        <f t="shared" si="7"/>
        <v>0</v>
      </c>
      <c r="P26" s="274">
        <f t="shared" si="1"/>
        <v>0</v>
      </c>
    </row>
    <row r="27" spans="1:16" ht="4.5" customHeight="1">
      <c r="A27" s="365"/>
      <c r="B27" s="367"/>
      <c r="C27" s="242"/>
      <c r="D27" s="242"/>
      <c r="E27" s="242"/>
      <c r="F27" s="243"/>
      <c r="G27" s="523"/>
      <c r="H27" s="245"/>
      <c r="I27" s="389"/>
      <c r="J27" s="273"/>
      <c r="K27" s="273"/>
      <c r="L27" s="273"/>
      <c r="M27" s="273"/>
      <c r="N27" s="273"/>
      <c r="O27" s="273"/>
      <c r="P27" s="274"/>
    </row>
    <row r="28" spans="1:16" ht="12.75">
      <c r="A28" s="363">
        <v>2105567</v>
      </c>
      <c r="B28" s="363" t="s">
        <v>289</v>
      </c>
      <c r="C28" s="242"/>
      <c r="D28" s="242"/>
      <c r="E28" s="242"/>
      <c r="F28" s="243">
        <f t="shared" si="2"/>
        <v>0</v>
      </c>
      <c r="G28" s="523">
        <f>SUM(I28*0.5)</f>
        <v>12.495</v>
      </c>
      <c r="H28" s="245">
        <f>G28*(1-'Dealer Inputs'!$H$22)*(1-'Dealer Inputs'!$L$22)</f>
        <v>9.37125</v>
      </c>
      <c r="I28" s="389">
        <v>24.99</v>
      </c>
      <c r="J28" s="273">
        <f t="shared" si="4"/>
        <v>0</v>
      </c>
      <c r="K28" s="273">
        <f>SUM(D28*$G28)</f>
        <v>0</v>
      </c>
      <c r="L28" s="273">
        <f>SUM(E28*$G28)</f>
        <v>0</v>
      </c>
      <c r="M28" s="273">
        <f t="shared" si="5"/>
        <v>0</v>
      </c>
      <c r="N28" s="273">
        <f t="shared" si="6"/>
        <v>0</v>
      </c>
      <c r="O28" s="273">
        <f t="shared" si="7"/>
        <v>0</v>
      </c>
      <c r="P28" s="274">
        <f t="shared" si="1"/>
        <v>0</v>
      </c>
    </row>
    <row r="29" spans="1:16" ht="12.75">
      <c r="A29" s="363">
        <v>2105566</v>
      </c>
      <c r="B29" s="363" t="s">
        <v>290</v>
      </c>
      <c r="C29" s="242"/>
      <c r="D29" s="242"/>
      <c r="E29" s="242"/>
      <c r="F29" s="243">
        <f t="shared" si="2"/>
        <v>0</v>
      </c>
      <c r="G29" s="523">
        <f>SUM(I29*0.5)</f>
        <v>9.995</v>
      </c>
      <c r="H29" s="245">
        <f>G29*(1-'Dealer Inputs'!$H$22)*(1-'Dealer Inputs'!$L$22)</f>
        <v>7.49625</v>
      </c>
      <c r="I29" s="389">
        <v>19.99</v>
      </c>
      <c r="J29" s="273">
        <f>SUM(C29*$G29)</f>
        <v>0</v>
      </c>
      <c r="K29" s="273">
        <f>SUM(D29*$G29)</f>
        <v>0</v>
      </c>
      <c r="L29" s="273">
        <f>SUM(E29*$G29)</f>
        <v>0</v>
      </c>
      <c r="M29" s="273">
        <f>SUM(C29*$H29)</f>
        <v>0</v>
      </c>
      <c r="N29" s="273">
        <f>SUM(D29*$H29)</f>
        <v>0</v>
      </c>
      <c r="O29" s="273">
        <f>SUM(E29*$H29)</f>
        <v>0</v>
      </c>
      <c r="P29" s="274">
        <f t="shared" si="1"/>
        <v>0</v>
      </c>
    </row>
    <row r="30" spans="1:16" ht="6.75" customHeight="1">
      <c r="A30" s="390"/>
      <c r="B30" s="391"/>
      <c r="C30" s="242"/>
      <c r="D30" s="242"/>
      <c r="E30" s="242"/>
      <c r="F30" s="392"/>
      <c r="G30" s="551"/>
      <c r="H30" s="245"/>
      <c r="I30" s="249"/>
      <c r="J30" s="273"/>
      <c r="K30" s="273"/>
      <c r="L30" s="273"/>
      <c r="M30" s="273"/>
      <c r="N30" s="273"/>
      <c r="O30" s="273"/>
      <c r="P30" s="274"/>
    </row>
    <row r="31" spans="1:16" ht="15" customHeight="1">
      <c r="A31" s="715" t="s">
        <v>19</v>
      </c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7"/>
    </row>
    <row r="32" spans="1:16" ht="12.75">
      <c r="A32" s="393">
        <v>2125978</v>
      </c>
      <c r="B32" s="394" t="s">
        <v>20</v>
      </c>
      <c r="C32" s="242"/>
      <c r="D32" s="242"/>
      <c r="E32" s="242"/>
      <c r="F32" s="243">
        <f>SUM(C32:E32)</f>
        <v>0</v>
      </c>
      <c r="G32" s="523">
        <f>SUM(I32*0.6)</f>
        <v>10.193999999999999</v>
      </c>
      <c r="H32" s="245">
        <f>G32*(1-'Dealer Inputs'!$H$22)*(1-'Dealer Inputs'!$L$22)</f>
        <v>7.645499999999999</v>
      </c>
      <c r="I32" s="389">
        <v>16.99</v>
      </c>
      <c r="J32" s="273">
        <f aca="true" t="shared" si="8" ref="J32:J43">SUM(C32*$G32)</f>
        <v>0</v>
      </c>
      <c r="K32" s="273">
        <f aca="true" t="shared" si="9" ref="K32:K43">SUM(D32*$G32)</f>
        <v>0</v>
      </c>
      <c r="L32" s="273">
        <f aca="true" t="shared" si="10" ref="L32:L43">SUM(E32*$G32)</f>
        <v>0</v>
      </c>
      <c r="M32" s="273">
        <f aca="true" t="shared" si="11" ref="M32:M43">SUM(C32*$H32)</f>
        <v>0</v>
      </c>
      <c r="N32" s="273">
        <f aca="true" t="shared" si="12" ref="N32:N43">SUM(D32*$H32)</f>
        <v>0</v>
      </c>
      <c r="O32" s="273">
        <f aca="true" t="shared" si="13" ref="O32:O43">SUM(E32*$H32)</f>
        <v>0</v>
      </c>
      <c r="P32" s="274">
        <f>H32*F32</f>
        <v>0</v>
      </c>
    </row>
    <row r="33" spans="1:16" ht="6.75" customHeight="1">
      <c r="A33" s="390"/>
      <c r="B33" s="395"/>
      <c r="C33" s="242"/>
      <c r="D33" s="242"/>
      <c r="E33" s="242"/>
      <c r="F33" s="392"/>
      <c r="G33" s="523"/>
      <c r="H33" s="245"/>
      <c r="I33" s="389"/>
      <c r="J33" s="273">
        <f t="shared" si="8"/>
        <v>0</v>
      </c>
      <c r="K33" s="273">
        <f t="shared" si="9"/>
        <v>0</v>
      </c>
      <c r="L33" s="273">
        <f t="shared" si="10"/>
        <v>0</v>
      </c>
      <c r="M33" s="273">
        <f t="shared" si="11"/>
        <v>0</v>
      </c>
      <c r="N33" s="273">
        <f t="shared" si="12"/>
        <v>0</v>
      </c>
      <c r="O33" s="273">
        <f t="shared" si="13"/>
        <v>0</v>
      </c>
      <c r="P33" s="274"/>
    </row>
    <row r="34" spans="1:16" ht="12.75">
      <c r="A34" s="396">
        <v>2128141</v>
      </c>
      <c r="B34" s="397" t="s">
        <v>21</v>
      </c>
      <c r="C34" s="242"/>
      <c r="D34" s="242"/>
      <c r="E34" s="242"/>
      <c r="F34" s="243">
        <f>SUM(C34:E34)</f>
        <v>0</v>
      </c>
      <c r="G34" s="523">
        <v>1.8</v>
      </c>
      <c r="H34" s="245">
        <v>1.8</v>
      </c>
      <c r="I34" s="389" t="s">
        <v>470</v>
      </c>
      <c r="J34" s="273">
        <f t="shared" si="8"/>
        <v>0</v>
      </c>
      <c r="K34" s="273">
        <f t="shared" si="9"/>
        <v>0</v>
      </c>
      <c r="L34" s="273">
        <f t="shared" si="10"/>
        <v>0</v>
      </c>
      <c r="M34" s="273">
        <f t="shared" si="11"/>
        <v>0</v>
      </c>
      <c r="N34" s="273">
        <f t="shared" si="12"/>
        <v>0</v>
      </c>
      <c r="O34" s="273">
        <f t="shared" si="13"/>
        <v>0</v>
      </c>
      <c r="P34" s="274">
        <f>H34*F34</f>
        <v>0</v>
      </c>
    </row>
    <row r="35" spans="1:16" ht="7.5" customHeight="1">
      <c r="A35" s="390"/>
      <c r="B35" s="394"/>
      <c r="C35" s="242"/>
      <c r="D35" s="242"/>
      <c r="E35" s="242"/>
      <c r="F35" s="392"/>
      <c r="G35" s="523"/>
      <c r="H35" s="245"/>
      <c r="I35" s="389"/>
      <c r="J35" s="273">
        <f t="shared" si="8"/>
        <v>0</v>
      </c>
      <c r="K35" s="273">
        <f t="shared" si="9"/>
        <v>0</v>
      </c>
      <c r="L35" s="273">
        <f t="shared" si="10"/>
        <v>0</v>
      </c>
      <c r="M35" s="273">
        <f t="shared" si="11"/>
        <v>0</v>
      </c>
      <c r="N35" s="273">
        <f t="shared" si="12"/>
        <v>0</v>
      </c>
      <c r="O35" s="273">
        <f t="shared" si="13"/>
        <v>0</v>
      </c>
      <c r="P35" s="274"/>
    </row>
    <row r="36" spans="1:16" ht="12.75">
      <c r="A36" s="390">
        <v>2105585</v>
      </c>
      <c r="B36" s="395" t="s">
        <v>463</v>
      </c>
      <c r="C36" s="242"/>
      <c r="D36" s="242"/>
      <c r="E36" s="242"/>
      <c r="F36" s="243">
        <f>SUM(C36:E36)</f>
        <v>0</v>
      </c>
      <c r="G36" s="523">
        <f>SUM(I36*0.6)</f>
        <v>8.994</v>
      </c>
      <c r="H36" s="245">
        <f>G36*(1-'Dealer Inputs'!$H$22)*(1-'Dealer Inputs'!$L$22)</f>
        <v>6.7455</v>
      </c>
      <c r="I36" s="389">
        <v>14.99</v>
      </c>
      <c r="J36" s="273">
        <f t="shared" si="8"/>
        <v>0</v>
      </c>
      <c r="K36" s="273">
        <f t="shared" si="9"/>
        <v>0</v>
      </c>
      <c r="L36" s="273">
        <f t="shared" si="10"/>
        <v>0</v>
      </c>
      <c r="M36" s="273">
        <f t="shared" si="11"/>
        <v>0</v>
      </c>
      <c r="N36" s="273">
        <f t="shared" si="12"/>
        <v>0</v>
      </c>
      <c r="O36" s="273">
        <f t="shared" si="13"/>
        <v>0</v>
      </c>
      <c r="P36" s="274">
        <f>H36*F36</f>
        <v>0</v>
      </c>
    </row>
    <row r="37" spans="1:16" ht="6.75" customHeight="1">
      <c r="A37" s="390"/>
      <c r="B37" s="395"/>
      <c r="C37" s="242"/>
      <c r="D37" s="242"/>
      <c r="E37" s="242"/>
      <c r="F37" s="243"/>
      <c r="G37" s="523"/>
      <c r="H37" s="245"/>
      <c r="I37" s="389"/>
      <c r="J37" s="273"/>
      <c r="K37" s="273"/>
      <c r="L37" s="273"/>
      <c r="M37" s="273"/>
      <c r="N37" s="273"/>
      <c r="O37" s="273"/>
      <c r="P37" s="274"/>
    </row>
    <row r="38" spans="1:16" ht="12.75">
      <c r="A38" s="390">
        <v>2106835</v>
      </c>
      <c r="B38" s="395" t="s">
        <v>281</v>
      </c>
      <c r="C38" s="242"/>
      <c r="D38" s="242"/>
      <c r="E38" s="242"/>
      <c r="F38" s="243">
        <f>SUM(C38:E38)</f>
        <v>0</v>
      </c>
      <c r="G38" s="523">
        <f>SUM(I38*0.6)</f>
        <v>2.394</v>
      </c>
      <c r="H38" s="245">
        <f>G38*(1-'Dealer Inputs'!$H$22)*(1-'Dealer Inputs'!$L$22)</f>
        <v>1.7955</v>
      </c>
      <c r="I38" s="389">
        <v>3.99</v>
      </c>
      <c r="J38" s="273">
        <f>SUM(C38*$G38)</f>
        <v>0</v>
      </c>
      <c r="K38" s="273">
        <f>SUM(D38*$G38)</f>
        <v>0</v>
      </c>
      <c r="L38" s="273">
        <f>SUM(E38*$G38)</f>
        <v>0</v>
      </c>
      <c r="M38" s="273">
        <f>SUM(C38*$H38)</f>
        <v>0</v>
      </c>
      <c r="N38" s="273">
        <f>SUM(D38*$H38)</f>
        <v>0</v>
      </c>
      <c r="O38" s="273">
        <f>SUM(E38*$H38)</f>
        <v>0</v>
      </c>
      <c r="P38" s="274">
        <f>H38*F38</f>
        <v>0</v>
      </c>
    </row>
    <row r="39" spans="1:16" ht="6.75" customHeight="1">
      <c r="A39" s="390"/>
      <c r="B39" s="395"/>
      <c r="C39" s="242"/>
      <c r="D39" s="242"/>
      <c r="E39" s="242"/>
      <c r="F39" s="392"/>
      <c r="G39" s="523"/>
      <c r="H39" s="245"/>
      <c r="I39" s="389"/>
      <c r="J39" s="273">
        <f t="shared" si="8"/>
        <v>0</v>
      </c>
      <c r="K39" s="273">
        <f t="shared" si="9"/>
        <v>0</v>
      </c>
      <c r="L39" s="273">
        <f t="shared" si="10"/>
        <v>0</v>
      </c>
      <c r="M39" s="273">
        <f t="shared" si="11"/>
        <v>0</v>
      </c>
      <c r="N39" s="273">
        <f t="shared" si="12"/>
        <v>0</v>
      </c>
      <c r="O39" s="273">
        <f t="shared" si="13"/>
        <v>0</v>
      </c>
      <c r="P39" s="274"/>
    </row>
    <row r="40" spans="1:16" ht="12.75" customHeight="1">
      <c r="A40" s="363">
        <v>2115569</v>
      </c>
      <c r="B40" s="364" t="s">
        <v>22</v>
      </c>
      <c r="C40" s="272"/>
      <c r="D40" s="272"/>
      <c r="E40" s="272"/>
      <c r="F40" s="243">
        <f>SUM(C40:E40)</f>
        <v>0</v>
      </c>
      <c r="G40" s="523">
        <f>SUM(I40*0.6)</f>
        <v>23.994</v>
      </c>
      <c r="H40" s="245">
        <f>G40*(1-'Dealer Inputs'!$H$22)*(1-'Dealer Inputs'!$L$22)</f>
        <v>17.9955</v>
      </c>
      <c r="I40" s="262">
        <v>39.99</v>
      </c>
      <c r="J40" s="273"/>
      <c r="K40" s="273"/>
      <c r="L40" s="273"/>
      <c r="M40" s="273"/>
      <c r="N40" s="273"/>
      <c r="O40" s="273"/>
      <c r="P40" s="274">
        <f>H40*F40</f>
        <v>0</v>
      </c>
    </row>
    <row r="41" spans="1:16" ht="12.75">
      <c r="A41" s="365">
        <v>2115568</v>
      </c>
      <c r="B41" s="367" t="s">
        <v>23</v>
      </c>
      <c r="C41" s="272"/>
      <c r="D41" s="272"/>
      <c r="E41" s="272"/>
      <c r="F41" s="243">
        <f>SUM(C41:E41)</f>
        <v>0</v>
      </c>
      <c r="G41" s="523">
        <f>SUM(I41*0.6)</f>
        <v>11.993999999999998</v>
      </c>
      <c r="H41" s="245">
        <f>G41*(1-'Dealer Inputs'!$H$22)*(1-'Dealer Inputs'!$L$22)</f>
        <v>8.995499999999998</v>
      </c>
      <c r="I41" s="262">
        <v>19.99</v>
      </c>
      <c r="J41" s="273"/>
      <c r="K41" s="273"/>
      <c r="L41" s="273"/>
      <c r="M41" s="273"/>
      <c r="N41" s="273"/>
      <c r="O41" s="273"/>
      <c r="P41" s="274">
        <f>H41*F41</f>
        <v>0</v>
      </c>
    </row>
    <row r="42" spans="1:16" ht="7.5" customHeight="1">
      <c r="A42" s="365"/>
      <c r="B42" s="367"/>
      <c r="C42" s="272"/>
      <c r="D42" s="272"/>
      <c r="E42" s="272"/>
      <c r="F42" s="243"/>
      <c r="G42" s="523"/>
      <c r="H42" s="245"/>
      <c r="I42" s="262"/>
      <c r="J42" s="273"/>
      <c r="K42" s="273"/>
      <c r="L42" s="273"/>
      <c r="M42" s="273"/>
      <c r="N42" s="273"/>
      <c r="O42" s="273"/>
      <c r="P42" s="274"/>
    </row>
    <row r="43" spans="1:16" ht="12.75">
      <c r="A43" s="397">
        <v>2117691</v>
      </c>
      <c r="B43" s="398" t="s">
        <v>362</v>
      </c>
      <c r="C43" s="242"/>
      <c r="D43" s="242"/>
      <c r="E43" s="242"/>
      <c r="F43" s="243">
        <f>SUM(C43:E43)</f>
        <v>0</v>
      </c>
      <c r="G43" s="523">
        <f>SUM(I43*0.6)</f>
        <v>18</v>
      </c>
      <c r="H43" s="245">
        <f>G43*(1-'Dealer Inputs'!$H$22)*(1-'Dealer Inputs'!$L$22)</f>
        <v>13.5</v>
      </c>
      <c r="I43" s="389">
        <v>30</v>
      </c>
      <c r="J43" s="273">
        <f t="shared" si="8"/>
        <v>0</v>
      </c>
      <c r="K43" s="273">
        <f t="shared" si="9"/>
        <v>0</v>
      </c>
      <c r="L43" s="273">
        <f t="shared" si="10"/>
        <v>0</v>
      </c>
      <c r="M43" s="273">
        <f t="shared" si="11"/>
        <v>0</v>
      </c>
      <c r="N43" s="273">
        <f t="shared" si="12"/>
        <v>0</v>
      </c>
      <c r="O43" s="273">
        <f t="shared" si="13"/>
        <v>0</v>
      </c>
      <c r="P43" s="274">
        <f>H43*F43</f>
        <v>0</v>
      </c>
    </row>
    <row r="44" spans="1:2" ht="12.75">
      <c r="A44" s="54"/>
      <c r="B44" s="55"/>
    </row>
  </sheetData>
  <sheetProtection/>
  <mergeCells count="2">
    <mergeCell ref="A2:P2"/>
    <mergeCell ref="A31:P31"/>
  </mergeCells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RowColHeaders="0" zoomScalePageLayoutView="0" workbookViewId="0" topLeftCell="A1">
      <selection activeCell="H1" sqref="H1:H16384"/>
    </sheetView>
  </sheetViews>
  <sheetFormatPr defaultColWidth="8.8515625" defaultRowHeight="12.75"/>
  <cols>
    <col min="1" max="1" width="9.421875" style="0" customWidth="1"/>
    <col min="2" max="2" width="24.8515625" style="0" customWidth="1"/>
    <col min="3" max="3" width="6.8515625" style="0" customWidth="1"/>
    <col min="4" max="4" width="6.7109375" style="0" customWidth="1"/>
    <col min="5" max="5" width="6.28125" style="0" customWidth="1"/>
    <col min="6" max="6" width="8.421875" style="0" customWidth="1"/>
    <col min="7" max="7" width="8.421875" style="526" customWidth="1"/>
    <col min="8" max="8" width="13.00390625" style="0" hidden="1" customWidth="1"/>
    <col min="9" max="9" width="12.7109375" style="0" customWidth="1"/>
    <col min="10" max="15" width="4.421875" style="0" hidden="1" customWidth="1"/>
    <col min="16" max="16" width="10.8515625" style="0" bestFit="1" customWidth="1"/>
  </cols>
  <sheetData>
    <row r="1" spans="1:18" s="208" customFormat="1" ht="18" customHeight="1" thickBot="1">
      <c r="A1" s="201" t="s">
        <v>315</v>
      </c>
      <c r="B1" s="202" t="s">
        <v>316</v>
      </c>
      <c r="C1" s="203" t="s">
        <v>342</v>
      </c>
      <c r="D1" s="203" t="s">
        <v>343</v>
      </c>
      <c r="E1" s="203" t="s">
        <v>344</v>
      </c>
      <c r="F1" s="23" t="s">
        <v>345</v>
      </c>
      <c r="G1" s="538" t="s">
        <v>498</v>
      </c>
      <c r="H1" s="204" t="s">
        <v>473</v>
      </c>
      <c r="I1" s="205" t="s">
        <v>499</v>
      </c>
      <c r="J1" s="202" t="s">
        <v>464</v>
      </c>
      <c r="K1" s="202" t="s">
        <v>465</v>
      </c>
      <c r="L1" s="202" t="s">
        <v>466</v>
      </c>
      <c r="M1" s="202" t="s">
        <v>467</v>
      </c>
      <c r="N1" s="202" t="s">
        <v>468</v>
      </c>
      <c r="O1" s="202" t="s">
        <v>469</v>
      </c>
      <c r="P1" s="206" t="s">
        <v>318</v>
      </c>
      <c r="Q1" s="207"/>
      <c r="R1" s="207"/>
    </row>
    <row r="2" spans="1:16" ht="21.75" customHeight="1">
      <c r="A2" s="708" t="s">
        <v>194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ht="12.75" customHeight="1">
      <c r="A3" s="172">
        <v>2118217</v>
      </c>
      <c r="B3" s="221" t="s">
        <v>447</v>
      </c>
      <c r="C3" s="178"/>
      <c r="D3" s="178"/>
      <c r="E3" s="178"/>
      <c r="F3" s="50">
        <f>SUM(C3:E3)</f>
        <v>0</v>
      </c>
      <c r="G3" s="552"/>
      <c r="H3" s="29">
        <f>G3*(1-'Dealer Inputs'!$H$22)*(1-'Dealer Inputs'!$L$22)</f>
        <v>0</v>
      </c>
      <c r="I3" s="177"/>
      <c r="J3" s="177"/>
      <c r="K3" s="177"/>
      <c r="L3" s="177"/>
      <c r="M3" s="177"/>
      <c r="N3" s="177"/>
      <c r="O3" s="177"/>
      <c r="P3" s="31">
        <f aca="true" t="shared" si="0" ref="P3:P30">H3*F3</f>
        <v>0</v>
      </c>
    </row>
    <row r="4" spans="1:16" ht="12.75" customHeight="1">
      <c r="A4" s="172">
        <v>2085877</v>
      </c>
      <c r="B4" s="222" t="s">
        <v>231</v>
      </c>
      <c r="C4" s="66"/>
      <c r="D4" s="66"/>
      <c r="E4" s="66"/>
      <c r="F4" s="50">
        <f>SUM(C4:E4)</f>
        <v>0</v>
      </c>
      <c r="G4" s="552">
        <f>SUM(I4*0.6)</f>
        <v>11.993999999999998</v>
      </c>
      <c r="H4" s="29">
        <f>G4*(1-'Dealer Inputs'!$H$22)*(1-'Dealer Inputs'!$L$22)</f>
        <v>8.995499999999998</v>
      </c>
      <c r="I4" s="180">
        <v>19.99</v>
      </c>
      <c r="J4" s="33">
        <f>SUM(C4*$G4)</f>
        <v>0</v>
      </c>
      <c r="K4" s="33">
        <f aca="true" t="shared" si="1" ref="K4:L30">SUM(D4*$G4)</f>
        <v>0</v>
      </c>
      <c r="L4" s="33">
        <f t="shared" si="1"/>
        <v>0</v>
      </c>
      <c r="M4" s="33">
        <f aca="true" t="shared" si="2" ref="M4:O7">SUM(C4*$H4)</f>
        <v>0</v>
      </c>
      <c r="N4" s="33">
        <f t="shared" si="2"/>
        <v>0</v>
      </c>
      <c r="O4" s="33">
        <f t="shared" si="2"/>
        <v>0</v>
      </c>
      <c r="P4" s="31">
        <f t="shared" si="0"/>
        <v>0</v>
      </c>
    </row>
    <row r="5" spans="1:16" ht="12.75" customHeight="1">
      <c r="A5" s="172">
        <v>2105586</v>
      </c>
      <c r="B5" s="222" t="s">
        <v>391</v>
      </c>
      <c r="C5" s="66"/>
      <c r="D5" s="66"/>
      <c r="E5" s="66"/>
      <c r="F5" s="50">
        <f aca="true" t="shared" si="3" ref="F5:F30">SUM(C5:E5)</f>
        <v>0</v>
      </c>
      <c r="G5" s="552">
        <f>SUM(I5*0.6)</f>
        <v>11.993999999999998</v>
      </c>
      <c r="H5" s="29">
        <f>G5*(1-'Dealer Inputs'!$H$22)*(1-'Dealer Inputs'!$L$22)</f>
        <v>8.995499999999998</v>
      </c>
      <c r="I5" s="180">
        <v>19.99</v>
      </c>
      <c r="J5" s="33">
        <f aca="true" t="shared" si="4" ref="J5:J30">SUM(C5*$G5)</f>
        <v>0</v>
      </c>
      <c r="K5" s="33">
        <f t="shared" si="1"/>
        <v>0</v>
      </c>
      <c r="L5" s="33">
        <f t="shared" si="1"/>
        <v>0</v>
      </c>
      <c r="M5" s="33">
        <f t="shared" si="2"/>
        <v>0</v>
      </c>
      <c r="N5" s="33">
        <f t="shared" si="2"/>
        <v>0</v>
      </c>
      <c r="O5" s="33">
        <f t="shared" si="2"/>
        <v>0</v>
      </c>
      <c r="P5" s="31">
        <f t="shared" si="0"/>
        <v>0</v>
      </c>
    </row>
    <row r="6" spans="1:16" ht="12.75" customHeight="1">
      <c r="A6" s="172">
        <v>2105598</v>
      </c>
      <c r="B6" s="222" t="s">
        <v>392</v>
      </c>
      <c r="C6" s="66"/>
      <c r="D6" s="66"/>
      <c r="E6" s="66"/>
      <c r="F6" s="50">
        <f>SUM(C6:E6)</f>
        <v>0</v>
      </c>
      <c r="G6" s="552">
        <f>SUM(I6*0.6)</f>
        <v>89.994</v>
      </c>
      <c r="H6" s="29">
        <f>G6*(1-'Dealer Inputs'!$H$22)*(1-'Dealer Inputs'!$L$22)</f>
        <v>67.49549999999999</v>
      </c>
      <c r="I6" s="179">
        <v>149.99</v>
      </c>
      <c r="J6" s="33">
        <f>SUM(C6*$G6)</f>
        <v>0</v>
      </c>
      <c r="K6" s="33">
        <f>SUM(D6*$G6)</f>
        <v>0</v>
      </c>
      <c r="L6" s="33">
        <f>SUM(E6*$G6)</f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1">
        <f>H6*F6</f>
        <v>0</v>
      </c>
    </row>
    <row r="7" spans="1:16" ht="12.75">
      <c r="A7" s="172">
        <v>2106841</v>
      </c>
      <c r="B7" s="222" t="s">
        <v>393</v>
      </c>
      <c r="C7" s="66"/>
      <c r="D7" s="66"/>
      <c r="E7" s="66"/>
      <c r="F7" s="50">
        <f t="shared" si="3"/>
        <v>0</v>
      </c>
      <c r="G7" s="552">
        <f>SUM(I7*0.6)</f>
        <v>11.993999999999998</v>
      </c>
      <c r="H7" s="29">
        <f>G7*(1-'Dealer Inputs'!$H$22)*(1-'Dealer Inputs'!$L$22)</f>
        <v>8.995499999999998</v>
      </c>
      <c r="I7" s="180">
        <v>19.99</v>
      </c>
      <c r="J7" s="33">
        <f t="shared" si="4"/>
        <v>0</v>
      </c>
      <c r="K7" s="33">
        <f t="shared" si="1"/>
        <v>0</v>
      </c>
      <c r="L7" s="33">
        <f t="shared" si="1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1">
        <f t="shared" si="0"/>
        <v>0</v>
      </c>
    </row>
    <row r="8" spans="1:16" ht="7.5" customHeight="1">
      <c r="A8" s="172"/>
      <c r="B8" s="173"/>
      <c r="C8" s="66"/>
      <c r="D8" s="66"/>
      <c r="E8" s="66"/>
      <c r="F8" s="50"/>
      <c r="G8" s="552"/>
      <c r="H8" s="29"/>
      <c r="I8" s="170"/>
      <c r="J8" s="29"/>
      <c r="K8" s="29"/>
      <c r="L8" s="29"/>
      <c r="M8" s="29"/>
      <c r="N8" s="29"/>
      <c r="O8" s="29"/>
      <c r="P8" s="168"/>
    </row>
    <row r="9" spans="1:16" ht="20.25" customHeight="1">
      <c r="A9" s="715" t="s">
        <v>195</v>
      </c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7"/>
    </row>
    <row r="10" spans="1:16" ht="7.5" customHeight="1">
      <c r="A10" s="169"/>
      <c r="B10" s="169"/>
      <c r="C10" s="66"/>
      <c r="D10" s="66"/>
      <c r="E10" s="66"/>
      <c r="F10" s="50"/>
      <c r="G10" s="552"/>
      <c r="H10" s="29"/>
      <c r="I10" s="170"/>
      <c r="J10" s="33"/>
      <c r="K10" s="33"/>
      <c r="L10" s="33"/>
      <c r="M10" s="33"/>
      <c r="N10" s="33"/>
      <c r="O10" s="33"/>
      <c r="P10" s="31"/>
    </row>
    <row r="11" spans="1:16" ht="12.75" customHeight="1">
      <c r="A11" s="172">
        <v>2095775</v>
      </c>
      <c r="B11" s="173" t="s">
        <v>310</v>
      </c>
      <c r="C11" s="66"/>
      <c r="D11" s="66"/>
      <c r="E11" s="66"/>
      <c r="F11" s="50">
        <f>SUM(C11:E11)</f>
        <v>0</v>
      </c>
      <c r="G11" s="552">
        <f aca="true" t="shared" si="5" ref="G11:G18">SUM(I11*0.6)</f>
        <v>23.994</v>
      </c>
      <c r="H11" s="29">
        <f>G11*(1-'Dealer Inputs'!$H$22)*(1-'Dealer Inputs'!$L$22)</f>
        <v>17.9955</v>
      </c>
      <c r="I11" s="179">
        <v>39.99</v>
      </c>
      <c r="J11" s="33">
        <f>SUM(C11*$G11)</f>
        <v>0</v>
      </c>
      <c r="K11" s="33">
        <f>SUM(D11*$G11)</f>
        <v>0</v>
      </c>
      <c r="L11" s="33">
        <f>SUM(E11*$G11)</f>
        <v>0</v>
      </c>
      <c r="M11" s="33">
        <f aca="true" t="shared" si="6" ref="M11:O18">SUM(C11*$H11)</f>
        <v>0</v>
      </c>
      <c r="N11" s="33">
        <f t="shared" si="6"/>
        <v>0</v>
      </c>
      <c r="O11" s="33">
        <f t="shared" si="6"/>
        <v>0</v>
      </c>
      <c r="P11" s="31">
        <f>H11*F11</f>
        <v>0</v>
      </c>
    </row>
    <row r="12" spans="1:16" ht="12.75" customHeight="1">
      <c r="A12" s="174">
        <v>2095776</v>
      </c>
      <c r="B12" s="175" t="s">
        <v>311</v>
      </c>
      <c r="C12" s="66"/>
      <c r="D12" s="66"/>
      <c r="E12" s="66"/>
      <c r="F12" s="50">
        <f t="shared" si="3"/>
        <v>0</v>
      </c>
      <c r="G12" s="552">
        <f t="shared" si="5"/>
        <v>23.994</v>
      </c>
      <c r="H12" s="29">
        <f>G12*(1-'Dealer Inputs'!$H$22)*(1-'Dealer Inputs'!$L$22)</f>
        <v>17.9955</v>
      </c>
      <c r="I12" s="179">
        <v>39.99</v>
      </c>
      <c r="J12" s="33">
        <f t="shared" si="4"/>
        <v>0</v>
      </c>
      <c r="K12" s="33">
        <f t="shared" si="1"/>
        <v>0</v>
      </c>
      <c r="L12" s="33">
        <f t="shared" si="1"/>
        <v>0</v>
      </c>
      <c r="M12" s="33">
        <f t="shared" si="6"/>
        <v>0</v>
      </c>
      <c r="N12" s="33">
        <f t="shared" si="6"/>
        <v>0</v>
      </c>
      <c r="O12" s="33">
        <f t="shared" si="6"/>
        <v>0</v>
      </c>
      <c r="P12" s="31">
        <f t="shared" si="0"/>
        <v>0</v>
      </c>
    </row>
    <row r="13" spans="1:16" ht="12.75">
      <c r="A13" s="174">
        <v>2105581</v>
      </c>
      <c r="B13" s="175" t="s">
        <v>312</v>
      </c>
      <c r="C13" s="66"/>
      <c r="D13" s="66"/>
      <c r="E13" s="66"/>
      <c r="F13" s="50">
        <f t="shared" si="3"/>
        <v>0</v>
      </c>
      <c r="G13" s="552">
        <f t="shared" si="5"/>
        <v>17.994</v>
      </c>
      <c r="H13" s="29">
        <f>G13*(1-'Dealer Inputs'!$H$22)*(1-'Dealer Inputs'!$L$22)</f>
        <v>13.4955</v>
      </c>
      <c r="I13" s="179">
        <v>29.99</v>
      </c>
      <c r="J13" s="33">
        <f t="shared" si="4"/>
        <v>0</v>
      </c>
      <c r="K13" s="33">
        <f t="shared" si="1"/>
        <v>0</v>
      </c>
      <c r="L13" s="33">
        <f t="shared" si="1"/>
        <v>0</v>
      </c>
      <c r="M13" s="33">
        <f t="shared" si="6"/>
        <v>0</v>
      </c>
      <c r="N13" s="33">
        <f t="shared" si="6"/>
        <v>0</v>
      </c>
      <c r="O13" s="33">
        <f t="shared" si="6"/>
        <v>0</v>
      </c>
      <c r="P13" s="31">
        <f t="shared" si="0"/>
        <v>0</v>
      </c>
    </row>
    <row r="14" spans="1:16" ht="12.75" customHeight="1">
      <c r="A14" s="174">
        <v>2105590</v>
      </c>
      <c r="B14" s="175" t="s">
        <v>313</v>
      </c>
      <c r="C14" s="66"/>
      <c r="D14" s="66"/>
      <c r="E14" s="66"/>
      <c r="F14" s="50">
        <f t="shared" si="3"/>
        <v>0</v>
      </c>
      <c r="G14" s="552">
        <f t="shared" si="5"/>
        <v>4.794</v>
      </c>
      <c r="H14" s="29">
        <f>G14*(1-'Dealer Inputs'!$H$22)*(1-'Dealer Inputs'!$L$22)</f>
        <v>3.5954999999999995</v>
      </c>
      <c r="I14" s="179">
        <v>7.99</v>
      </c>
      <c r="J14" s="33">
        <f>SUM(C14*$G14)</f>
        <v>0</v>
      </c>
      <c r="K14" s="33">
        <f>SUM(D14*$G14)</f>
        <v>0</v>
      </c>
      <c r="L14" s="33">
        <f>SUM(E14*$G14)</f>
        <v>0</v>
      </c>
      <c r="M14" s="33">
        <f t="shared" si="6"/>
        <v>0</v>
      </c>
      <c r="N14" s="33">
        <f t="shared" si="6"/>
        <v>0</v>
      </c>
      <c r="O14" s="33">
        <f t="shared" si="6"/>
        <v>0</v>
      </c>
      <c r="P14" s="31">
        <f>H14*F14</f>
        <v>0</v>
      </c>
    </row>
    <row r="15" spans="1:16" ht="12.75">
      <c r="A15" s="174">
        <v>2105591</v>
      </c>
      <c r="B15" s="175" t="s">
        <v>314</v>
      </c>
      <c r="C15" s="66"/>
      <c r="D15" s="66"/>
      <c r="E15" s="66"/>
      <c r="F15" s="50">
        <f t="shared" si="3"/>
        <v>0</v>
      </c>
      <c r="G15" s="552">
        <f t="shared" si="5"/>
        <v>71.994</v>
      </c>
      <c r="H15" s="29">
        <f>G15*(1-'Dealer Inputs'!$H$22)*(1-'Dealer Inputs'!$L$22)</f>
        <v>53.9955</v>
      </c>
      <c r="I15" s="179">
        <v>119.99</v>
      </c>
      <c r="J15" s="33">
        <f t="shared" si="4"/>
        <v>0</v>
      </c>
      <c r="K15" s="33">
        <f t="shared" si="1"/>
        <v>0</v>
      </c>
      <c r="L15" s="33">
        <f t="shared" si="1"/>
        <v>0</v>
      </c>
      <c r="M15" s="33">
        <f t="shared" si="6"/>
        <v>0</v>
      </c>
      <c r="N15" s="33">
        <f t="shared" si="6"/>
        <v>0</v>
      </c>
      <c r="O15" s="33">
        <f t="shared" si="6"/>
        <v>0</v>
      </c>
      <c r="P15" s="31">
        <f t="shared" si="0"/>
        <v>0</v>
      </c>
    </row>
    <row r="16" spans="1:16" ht="12.75">
      <c r="A16" s="176">
        <v>2125981</v>
      </c>
      <c r="B16" s="175" t="s">
        <v>197</v>
      </c>
      <c r="C16" s="66"/>
      <c r="D16" s="66"/>
      <c r="E16" s="66"/>
      <c r="F16" s="50">
        <f t="shared" si="3"/>
        <v>0</v>
      </c>
      <c r="G16" s="552">
        <f t="shared" si="5"/>
        <v>5.994</v>
      </c>
      <c r="H16" s="29">
        <f>G16*(1-'Dealer Inputs'!$H$22)*(1-'Dealer Inputs'!$L$22)</f>
        <v>4.4955</v>
      </c>
      <c r="I16" s="180">
        <v>9.99</v>
      </c>
      <c r="J16" s="33">
        <f t="shared" si="4"/>
        <v>0</v>
      </c>
      <c r="K16" s="33">
        <f t="shared" si="1"/>
        <v>0</v>
      </c>
      <c r="L16" s="33">
        <f t="shared" si="1"/>
        <v>0</v>
      </c>
      <c r="M16" s="33">
        <f t="shared" si="6"/>
        <v>0</v>
      </c>
      <c r="N16" s="33">
        <f t="shared" si="6"/>
        <v>0</v>
      </c>
      <c r="O16" s="33">
        <f t="shared" si="6"/>
        <v>0</v>
      </c>
      <c r="P16" s="31">
        <f t="shared" si="0"/>
        <v>0</v>
      </c>
    </row>
    <row r="17" spans="1:16" ht="12.75">
      <c r="A17" s="176">
        <v>2125982</v>
      </c>
      <c r="B17" s="175" t="s">
        <v>198</v>
      </c>
      <c r="C17" s="66"/>
      <c r="D17" s="66"/>
      <c r="E17" s="66"/>
      <c r="F17" s="50">
        <f t="shared" si="3"/>
        <v>0</v>
      </c>
      <c r="G17" s="552">
        <f t="shared" si="5"/>
        <v>5.994</v>
      </c>
      <c r="H17" s="29">
        <f>G17*(1-'Dealer Inputs'!$H$22)*(1-'Dealer Inputs'!$L$22)</f>
        <v>4.4955</v>
      </c>
      <c r="I17" s="180">
        <v>9.99</v>
      </c>
      <c r="J17" s="33">
        <f t="shared" si="4"/>
        <v>0</v>
      </c>
      <c r="K17" s="33">
        <f t="shared" si="1"/>
        <v>0</v>
      </c>
      <c r="L17" s="33">
        <f t="shared" si="1"/>
        <v>0</v>
      </c>
      <c r="M17" s="33">
        <f t="shared" si="6"/>
        <v>0</v>
      </c>
      <c r="N17" s="33">
        <f t="shared" si="6"/>
        <v>0</v>
      </c>
      <c r="O17" s="33">
        <f t="shared" si="6"/>
        <v>0</v>
      </c>
      <c r="P17" s="31">
        <f t="shared" si="0"/>
        <v>0</v>
      </c>
    </row>
    <row r="18" spans="1:16" ht="12.75" customHeight="1">
      <c r="A18" s="176">
        <v>2126929</v>
      </c>
      <c r="B18" s="175" t="s">
        <v>199</v>
      </c>
      <c r="C18" s="66"/>
      <c r="D18" s="66"/>
      <c r="E18" s="66"/>
      <c r="F18" s="50">
        <f>SUM(C18:E18)</f>
        <v>0</v>
      </c>
      <c r="G18" s="552">
        <f t="shared" si="5"/>
        <v>41.99399999999999</v>
      </c>
      <c r="H18" s="29">
        <f>G18*(1-'Dealer Inputs'!$H$22)*(1-'Dealer Inputs'!$L$22)</f>
        <v>31.495499999999993</v>
      </c>
      <c r="I18" s="180">
        <v>69.99</v>
      </c>
      <c r="J18" s="33">
        <f>SUM(C18*$G18)</f>
        <v>0</v>
      </c>
      <c r="K18" s="33">
        <f>SUM(D18*$G18)</f>
        <v>0</v>
      </c>
      <c r="L18" s="33">
        <f>SUM(E18*$G18)</f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31">
        <f>H18*F18</f>
        <v>0</v>
      </c>
    </row>
    <row r="19" spans="1:16" ht="6.75" customHeight="1">
      <c r="A19" s="176"/>
      <c r="B19" s="175"/>
      <c r="C19" s="66"/>
      <c r="D19" s="66"/>
      <c r="E19" s="66"/>
      <c r="F19" s="50"/>
      <c r="G19" s="552"/>
      <c r="H19" s="29"/>
      <c r="I19" s="170"/>
      <c r="J19" s="29"/>
      <c r="K19" s="29"/>
      <c r="L19" s="29"/>
      <c r="M19" s="29"/>
      <c r="N19" s="29"/>
      <c r="O19" s="29"/>
      <c r="P19" s="168"/>
    </row>
    <row r="20" spans="1:16" ht="19.5" customHeight="1">
      <c r="A20" s="718" t="s">
        <v>196</v>
      </c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20"/>
    </row>
    <row r="21" spans="1:16" ht="7.5" customHeight="1">
      <c r="A21" s="169"/>
      <c r="B21" s="169"/>
      <c r="C21" s="66"/>
      <c r="D21" s="66"/>
      <c r="E21" s="66"/>
      <c r="F21" s="50"/>
      <c r="G21" s="552"/>
      <c r="H21" s="29"/>
      <c r="I21" s="170"/>
      <c r="J21" s="33"/>
      <c r="K21" s="33"/>
      <c r="L21" s="33"/>
      <c r="M21" s="33"/>
      <c r="N21" s="33"/>
      <c r="O21" s="33"/>
      <c r="P21" s="31"/>
    </row>
    <row r="22" spans="1:16" ht="13.5" customHeight="1">
      <c r="A22" s="172">
        <v>2106663</v>
      </c>
      <c r="B22" s="173" t="s">
        <v>184</v>
      </c>
      <c r="C22" s="66"/>
      <c r="D22" s="66"/>
      <c r="E22" s="66"/>
      <c r="F22" s="50">
        <f t="shared" si="3"/>
        <v>0</v>
      </c>
      <c r="G22" s="552">
        <f aca="true" t="shared" si="7" ref="G22:G31">SUM(I22*0.6)</f>
        <v>5.994</v>
      </c>
      <c r="H22" s="29">
        <f>G22*(1-'Dealer Inputs'!$H$22)*(1-'Dealer Inputs'!$L$22)</f>
        <v>4.4955</v>
      </c>
      <c r="I22" s="179">
        <v>9.99</v>
      </c>
      <c r="J22" s="33">
        <f t="shared" si="4"/>
        <v>0</v>
      </c>
      <c r="K22" s="33">
        <f t="shared" si="1"/>
        <v>0</v>
      </c>
      <c r="L22" s="33">
        <f t="shared" si="1"/>
        <v>0</v>
      </c>
      <c r="M22" s="33">
        <f aca="true" t="shared" si="8" ref="M22:M31">SUM(C22*$H22)</f>
        <v>0</v>
      </c>
      <c r="N22" s="33">
        <f aca="true" t="shared" si="9" ref="N22:N31">SUM(D22*$H22)</f>
        <v>0</v>
      </c>
      <c r="O22" s="33">
        <f aca="true" t="shared" si="10" ref="O22:O31">SUM(E22*$H22)</f>
        <v>0</v>
      </c>
      <c r="P22" s="31">
        <f t="shared" si="0"/>
        <v>0</v>
      </c>
    </row>
    <row r="23" spans="1:16" ht="12.75" customHeight="1">
      <c r="A23" s="172">
        <v>2106664</v>
      </c>
      <c r="B23" s="173" t="s">
        <v>185</v>
      </c>
      <c r="C23" s="66"/>
      <c r="D23" s="66"/>
      <c r="E23" s="66"/>
      <c r="F23" s="50">
        <f t="shared" si="3"/>
        <v>0</v>
      </c>
      <c r="G23" s="552">
        <f t="shared" si="7"/>
        <v>5.994</v>
      </c>
      <c r="H23" s="29">
        <f>G23*(1-'Dealer Inputs'!$H$22)*(1-'Dealer Inputs'!$L$22)</f>
        <v>4.4955</v>
      </c>
      <c r="I23" s="179">
        <v>9.99</v>
      </c>
      <c r="J23" s="33">
        <f>SUM(C23*$G23)</f>
        <v>0</v>
      </c>
      <c r="K23" s="33">
        <f>SUM(D23*$G23)</f>
        <v>0</v>
      </c>
      <c r="L23" s="33">
        <f>SUM(E23*$G23)</f>
        <v>0</v>
      </c>
      <c r="M23" s="33">
        <f t="shared" si="8"/>
        <v>0</v>
      </c>
      <c r="N23" s="33">
        <f t="shared" si="9"/>
        <v>0</v>
      </c>
      <c r="O23" s="33">
        <f t="shared" si="10"/>
        <v>0</v>
      </c>
      <c r="P23" s="31">
        <f>H23*F23</f>
        <v>0</v>
      </c>
    </row>
    <row r="24" spans="1:16" ht="12.75">
      <c r="A24" s="172">
        <v>2106665</v>
      </c>
      <c r="B24" s="173" t="s">
        <v>186</v>
      </c>
      <c r="C24" s="66"/>
      <c r="D24" s="66"/>
      <c r="E24" s="66"/>
      <c r="F24" s="50">
        <f t="shared" si="3"/>
        <v>0</v>
      </c>
      <c r="G24" s="552">
        <f t="shared" si="7"/>
        <v>8.994</v>
      </c>
      <c r="H24" s="29">
        <f>G24*(1-'Dealer Inputs'!$H$22)*(1-'Dealer Inputs'!$L$22)</f>
        <v>6.7455</v>
      </c>
      <c r="I24" s="179">
        <v>14.99</v>
      </c>
      <c r="J24" s="33">
        <f t="shared" si="4"/>
        <v>0</v>
      </c>
      <c r="K24" s="33">
        <f t="shared" si="1"/>
        <v>0</v>
      </c>
      <c r="L24" s="33">
        <f t="shared" si="1"/>
        <v>0</v>
      </c>
      <c r="M24" s="33">
        <f t="shared" si="8"/>
        <v>0</v>
      </c>
      <c r="N24" s="33">
        <f t="shared" si="9"/>
        <v>0</v>
      </c>
      <c r="O24" s="33">
        <f t="shared" si="10"/>
        <v>0</v>
      </c>
      <c r="P24" s="31">
        <f t="shared" si="0"/>
        <v>0</v>
      </c>
    </row>
    <row r="25" spans="1:16" ht="12.75" customHeight="1">
      <c r="A25" s="172">
        <v>2106666</v>
      </c>
      <c r="B25" s="173" t="s">
        <v>187</v>
      </c>
      <c r="C25" s="66"/>
      <c r="D25" s="66"/>
      <c r="E25" s="66"/>
      <c r="F25" s="50">
        <f t="shared" si="3"/>
        <v>0</v>
      </c>
      <c r="G25" s="552">
        <f t="shared" si="7"/>
        <v>8.994</v>
      </c>
      <c r="H25" s="29">
        <f>G25*(1-'Dealer Inputs'!$H$22)*(1-'Dealer Inputs'!$L$22)</f>
        <v>6.7455</v>
      </c>
      <c r="I25" s="179">
        <v>14.99</v>
      </c>
      <c r="J25" s="33">
        <f>SUM(C25*$G25)</f>
        <v>0</v>
      </c>
      <c r="K25" s="33">
        <f>SUM(D25*$G25)</f>
        <v>0</v>
      </c>
      <c r="L25" s="33">
        <f>SUM(E25*$G25)</f>
        <v>0</v>
      </c>
      <c r="M25" s="33">
        <f t="shared" si="8"/>
        <v>0</v>
      </c>
      <c r="N25" s="33">
        <f t="shared" si="9"/>
        <v>0</v>
      </c>
      <c r="O25" s="33">
        <f t="shared" si="10"/>
        <v>0</v>
      </c>
      <c r="P25" s="31">
        <f>H25*F25</f>
        <v>0</v>
      </c>
    </row>
    <row r="26" spans="1:16" ht="12.75">
      <c r="A26" s="172">
        <v>2117684</v>
      </c>
      <c r="B26" s="173" t="s">
        <v>188</v>
      </c>
      <c r="C26" s="66"/>
      <c r="D26" s="66"/>
      <c r="E26" s="66"/>
      <c r="F26" s="50">
        <f t="shared" si="3"/>
        <v>0</v>
      </c>
      <c r="G26" s="552">
        <f t="shared" si="7"/>
        <v>8.994</v>
      </c>
      <c r="H26" s="29">
        <f>G26*(1-'Dealer Inputs'!$H$22)*(1-'Dealer Inputs'!$L$22)</f>
        <v>6.7455</v>
      </c>
      <c r="I26" s="179">
        <v>14.99</v>
      </c>
      <c r="J26" s="33">
        <f t="shared" si="4"/>
        <v>0</v>
      </c>
      <c r="K26" s="33">
        <f t="shared" si="1"/>
        <v>0</v>
      </c>
      <c r="L26" s="33">
        <f t="shared" si="1"/>
        <v>0</v>
      </c>
      <c r="M26" s="33">
        <f t="shared" si="8"/>
        <v>0</v>
      </c>
      <c r="N26" s="33">
        <f t="shared" si="9"/>
        <v>0</v>
      </c>
      <c r="O26" s="33">
        <f t="shared" si="10"/>
        <v>0</v>
      </c>
      <c r="P26" s="31">
        <f t="shared" si="0"/>
        <v>0</v>
      </c>
    </row>
    <row r="27" spans="1:16" ht="12.75" customHeight="1">
      <c r="A27" s="172">
        <v>2117685</v>
      </c>
      <c r="B27" s="173" t="s">
        <v>189</v>
      </c>
      <c r="C27" s="66"/>
      <c r="D27" s="66"/>
      <c r="E27" s="66"/>
      <c r="F27" s="50">
        <f t="shared" si="3"/>
        <v>0</v>
      </c>
      <c r="G27" s="552">
        <f t="shared" si="7"/>
        <v>8.994</v>
      </c>
      <c r="H27" s="29">
        <f>G27*(1-'Dealer Inputs'!$H$22)*(1-'Dealer Inputs'!$L$22)</f>
        <v>6.7455</v>
      </c>
      <c r="I27" s="179">
        <v>14.99</v>
      </c>
      <c r="J27" s="33">
        <f>SUM(C27*$G27)</f>
        <v>0</v>
      </c>
      <c r="K27" s="33">
        <f>SUM(D27*$G27)</f>
        <v>0</v>
      </c>
      <c r="L27" s="33">
        <f>SUM(E27*$G27)</f>
        <v>0</v>
      </c>
      <c r="M27" s="33">
        <f t="shared" si="8"/>
        <v>0</v>
      </c>
      <c r="N27" s="33">
        <f t="shared" si="9"/>
        <v>0</v>
      </c>
      <c r="O27" s="33">
        <f t="shared" si="10"/>
        <v>0</v>
      </c>
      <c r="P27" s="31">
        <f>H27*F27</f>
        <v>0</v>
      </c>
    </row>
    <row r="28" spans="1:16" ht="12.75">
      <c r="A28" s="172">
        <v>2117686</v>
      </c>
      <c r="B28" s="173" t="s">
        <v>190</v>
      </c>
      <c r="C28" s="66"/>
      <c r="D28" s="66"/>
      <c r="E28" s="66"/>
      <c r="F28" s="50">
        <f t="shared" si="3"/>
        <v>0</v>
      </c>
      <c r="G28" s="552">
        <f t="shared" si="7"/>
        <v>8.994</v>
      </c>
      <c r="H28" s="29">
        <f>G28*(1-'Dealer Inputs'!$H$22)*(1-'Dealer Inputs'!$L$22)</f>
        <v>6.7455</v>
      </c>
      <c r="I28" s="179">
        <v>14.99</v>
      </c>
      <c r="J28" s="33">
        <f t="shared" si="4"/>
        <v>0</v>
      </c>
      <c r="K28" s="33">
        <f t="shared" si="1"/>
        <v>0</v>
      </c>
      <c r="L28" s="33">
        <f t="shared" si="1"/>
        <v>0</v>
      </c>
      <c r="M28" s="33">
        <f t="shared" si="8"/>
        <v>0</v>
      </c>
      <c r="N28" s="33">
        <f t="shared" si="9"/>
        <v>0</v>
      </c>
      <c r="O28" s="33">
        <f t="shared" si="10"/>
        <v>0</v>
      </c>
      <c r="P28" s="31">
        <f t="shared" si="0"/>
        <v>0</v>
      </c>
    </row>
    <row r="29" spans="1:16" ht="12.75">
      <c r="A29" s="172">
        <v>2117687</v>
      </c>
      <c r="B29" s="173" t="s">
        <v>191</v>
      </c>
      <c r="C29" s="66"/>
      <c r="D29" s="66"/>
      <c r="E29" s="66"/>
      <c r="F29" s="50">
        <f t="shared" si="3"/>
        <v>0</v>
      </c>
      <c r="G29" s="552">
        <f t="shared" si="7"/>
        <v>8.994</v>
      </c>
      <c r="H29" s="29">
        <f>G29*(1-'Dealer Inputs'!$H$22)*(1-'Dealer Inputs'!$L$22)</f>
        <v>6.7455</v>
      </c>
      <c r="I29" s="179">
        <v>14.99</v>
      </c>
      <c r="J29" s="33">
        <f t="shared" si="4"/>
        <v>0</v>
      </c>
      <c r="K29" s="33">
        <f t="shared" si="1"/>
        <v>0</v>
      </c>
      <c r="L29" s="33">
        <f t="shared" si="1"/>
        <v>0</v>
      </c>
      <c r="M29" s="33">
        <f t="shared" si="8"/>
        <v>0</v>
      </c>
      <c r="N29" s="33">
        <f t="shared" si="9"/>
        <v>0</v>
      </c>
      <c r="O29" s="33">
        <f t="shared" si="10"/>
        <v>0</v>
      </c>
      <c r="P29" s="31">
        <f t="shared" si="0"/>
        <v>0</v>
      </c>
    </row>
    <row r="30" spans="1:16" ht="12.75">
      <c r="A30" s="172">
        <v>2117688</v>
      </c>
      <c r="B30" s="173" t="s">
        <v>192</v>
      </c>
      <c r="C30" s="66"/>
      <c r="D30" s="66"/>
      <c r="E30" s="66"/>
      <c r="F30" s="50">
        <f t="shared" si="3"/>
        <v>0</v>
      </c>
      <c r="G30" s="552">
        <f t="shared" si="7"/>
        <v>8.994</v>
      </c>
      <c r="H30" s="29">
        <f>G30*(1-'Dealer Inputs'!$H$22)*(1-'Dealer Inputs'!$L$22)</f>
        <v>6.7455</v>
      </c>
      <c r="I30" s="179">
        <v>14.99</v>
      </c>
      <c r="J30" s="33">
        <f t="shared" si="4"/>
        <v>0</v>
      </c>
      <c r="K30" s="33">
        <f t="shared" si="1"/>
        <v>0</v>
      </c>
      <c r="L30" s="33">
        <f t="shared" si="1"/>
        <v>0</v>
      </c>
      <c r="M30" s="33">
        <f t="shared" si="8"/>
        <v>0</v>
      </c>
      <c r="N30" s="33">
        <f t="shared" si="9"/>
        <v>0</v>
      </c>
      <c r="O30" s="33">
        <f t="shared" si="10"/>
        <v>0</v>
      </c>
      <c r="P30" s="31">
        <f t="shared" si="0"/>
        <v>0</v>
      </c>
    </row>
    <row r="31" spans="1:16" ht="12.75" customHeight="1">
      <c r="A31" s="172">
        <v>2117689</v>
      </c>
      <c r="B31" s="173" t="s">
        <v>193</v>
      </c>
      <c r="C31" s="66"/>
      <c r="D31" s="66"/>
      <c r="E31" s="66"/>
      <c r="F31" s="50">
        <f>SUM(C31:E31)</f>
        <v>0</v>
      </c>
      <c r="G31" s="552">
        <f t="shared" si="7"/>
        <v>8.994</v>
      </c>
      <c r="H31" s="29">
        <f>G31*(1-'Dealer Inputs'!$H$22)*(1-'Dealer Inputs'!$L$22)</f>
        <v>6.7455</v>
      </c>
      <c r="I31" s="179">
        <v>14.99</v>
      </c>
      <c r="J31" s="33">
        <f>SUM(C31*$G31)</f>
        <v>0</v>
      </c>
      <c r="K31" s="33">
        <f>SUM(D31*$G31)</f>
        <v>0</v>
      </c>
      <c r="L31" s="33">
        <f>SUM(E31*$G31)</f>
        <v>0</v>
      </c>
      <c r="M31" s="33">
        <f t="shared" si="8"/>
        <v>0</v>
      </c>
      <c r="N31" s="33">
        <f t="shared" si="9"/>
        <v>0</v>
      </c>
      <c r="O31" s="33">
        <f t="shared" si="10"/>
        <v>0</v>
      </c>
      <c r="P31" s="31">
        <f>H31*F31</f>
        <v>0</v>
      </c>
    </row>
    <row r="32" spans="1:16" ht="6.75" customHeight="1">
      <c r="A32" s="169"/>
      <c r="B32" s="169"/>
      <c r="C32" s="66"/>
      <c r="D32" s="66"/>
      <c r="E32" s="66"/>
      <c r="F32" s="50"/>
      <c r="G32" s="552"/>
      <c r="H32" s="29"/>
      <c r="I32" s="171"/>
      <c r="J32" s="33"/>
      <c r="K32" s="33"/>
      <c r="L32" s="33"/>
      <c r="M32" s="33"/>
      <c r="N32" s="33"/>
      <c r="O32" s="33"/>
      <c r="P32" s="31"/>
    </row>
    <row r="33" spans="1:2" ht="12.75">
      <c r="A33" s="54"/>
      <c r="B33" s="55"/>
    </row>
  </sheetData>
  <sheetProtection/>
  <mergeCells count="3">
    <mergeCell ref="A2:P2"/>
    <mergeCell ref="A9:P9"/>
    <mergeCell ref="A20:P20"/>
  </mergeCells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RowColHeaders="0" zoomScalePageLayoutView="0" workbookViewId="0" topLeftCell="A1">
      <selection activeCell="S15" sqref="S15"/>
    </sheetView>
  </sheetViews>
  <sheetFormatPr defaultColWidth="8.8515625" defaultRowHeight="12.75"/>
  <cols>
    <col min="1" max="1" width="9.140625" style="506" customWidth="1"/>
    <col min="2" max="2" width="35.7109375" style="506" customWidth="1"/>
    <col min="3" max="3" width="6.140625" style="506" customWidth="1"/>
    <col min="4" max="4" width="6.421875" style="506" customWidth="1"/>
    <col min="5" max="5" width="5.8515625" style="506" customWidth="1"/>
    <col min="6" max="6" width="7.421875" style="506" customWidth="1"/>
    <col min="7" max="7" width="8.8515625" style="555" customWidth="1"/>
    <col min="8" max="8" width="11.00390625" style="506" hidden="1" customWidth="1"/>
    <col min="9" max="9" width="11.8515625" style="506" bestFit="1" customWidth="1"/>
    <col min="10" max="15" width="8.421875" style="506" hidden="1" customWidth="1"/>
    <col min="16" max="16" width="11.00390625" style="506" bestFit="1" customWidth="1"/>
    <col min="17" max="16384" width="8.8515625" style="506" customWidth="1"/>
  </cols>
  <sheetData>
    <row r="1" spans="1:16" ht="18.75" customHeight="1">
      <c r="A1" s="502" t="s">
        <v>315</v>
      </c>
      <c r="B1" s="502" t="s">
        <v>316</v>
      </c>
      <c r="C1" s="502" t="s">
        <v>342</v>
      </c>
      <c r="D1" s="502" t="s">
        <v>343</v>
      </c>
      <c r="E1" s="502" t="s">
        <v>344</v>
      </c>
      <c r="F1" s="503" t="s">
        <v>345</v>
      </c>
      <c r="G1" s="553" t="s">
        <v>498</v>
      </c>
      <c r="H1" s="504" t="s">
        <v>44</v>
      </c>
      <c r="I1" s="502" t="s">
        <v>499</v>
      </c>
      <c r="J1" s="502" t="s">
        <v>464</v>
      </c>
      <c r="K1" s="502" t="s">
        <v>465</v>
      </c>
      <c r="L1" s="502" t="s">
        <v>466</v>
      </c>
      <c r="M1" s="502" t="s">
        <v>467</v>
      </c>
      <c r="N1" s="502" t="s">
        <v>468</v>
      </c>
      <c r="O1" s="502" t="s">
        <v>469</v>
      </c>
      <c r="P1" s="505" t="s">
        <v>318</v>
      </c>
    </row>
    <row r="2" spans="1:16" ht="19.5" customHeight="1">
      <c r="A2" s="722" t="s">
        <v>441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1:18" ht="12.75" customHeight="1">
      <c r="A3" s="507">
        <v>2098241</v>
      </c>
      <c r="B3" s="508" t="s">
        <v>453</v>
      </c>
      <c r="C3" s="509"/>
      <c r="D3" s="509"/>
      <c r="E3" s="509"/>
      <c r="F3" s="510">
        <f>SUM(C3:E3)</f>
        <v>0</v>
      </c>
      <c r="G3" s="554">
        <f>I3*0.6</f>
        <v>11.993999999999998</v>
      </c>
      <c r="H3" s="511">
        <f>G3*(1-'Dealer Inputs'!$D$22)*(1-'Dealer Inputs'!$H$22)*(1-'Dealer Inputs'!$L$22)</f>
        <v>8.995499999999998</v>
      </c>
      <c r="I3" s="512">
        <v>19.99</v>
      </c>
      <c r="J3" s="511">
        <f>SUM(C3*$G3)</f>
        <v>0</v>
      </c>
      <c r="K3" s="511">
        <f>SUM(D3*$G3)</f>
        <v>0</v>
      </c>
      <c r="L3" s="511">
        <f>SUM(E3*$G3)</f>
        <v>0</v>
      </c>
      <c r="M3" s="511">
        <f>SUM(C3*$H3)</f>
        <v>0</v>
      </c>
      <c r="N3" s="511">
        <f>SUM(D3*$H3)</f>
        <v>0</v>
      </c>
      <c r="O3" s="511">
        <f>SUM(E3*$H3)</f>
        <v>0</v>
      </c>
      <c r="P3" s="513">
        <f>H3*F3</f>
        <v>0</v>
      </c>
      <c r="R3" s="521"/>
    </row>
    <row r="4" spans="1:16" ht="10.5">
      <c r="A4" s="507">
        <v>2098064</v>
      </c>
      <c r="B4" s="508" t="s">
        <v>449</v>
      </c>
      <c r="C4" s="509"/>
      <c r="D4" s="509"/>
      <c r="E4" s="509"/>
      <c r="F4" s="510">
        <f>SUM(C4:E4)</f>
        <v>0</v>
      </c>
      <c r="G4" s="554">
        <f>I4*0.6</f>
        <v>11.993999999999998</v>
      </c>
      <c r="H4" s="511">
        <f>G4*(1-'Dealer Inputs'!$D$22)*(1-'Dealer Inputs'!$H$22)*(1-'Dealer Inputs'!$L$22)</f>
        <v>8.995499999999998</v>
      </c>
      <c r="I4" s="512">
        <v>19.99</v>
      </c>
      <c r="J4" s="511"/>
      <c r="K4" s="511"/>
      <c r="L4" s="511"/>
      <c r="M4" s="511"/>
      <c r="N4" s="511"/>
      <c r="O4" s="511"/>
      <c r="P4" s="513">
        <f>H4*F4</f>
        <v>0</v>
      </c>
    </row>
    <row r="5" spans="1:16" ht="13.5" customHeight="1">
      <c r="A5" s="507">
        <v>2098065</v>
      </c>
      <c r="B5" s="508" t="s">
        <v>450</v>
      </c>
      <c r="C5" s="509"/>
      <c r="D5" s="509"/>
      <c r="E5" s="509"/>
      <c r="F5" s="510">
        <f>SUM(C5:E5)</f>
        <v>0</v>
      </c>
      <c r="G5" s="554">
        <f>I5*0.6</f>
        <v>11.993999999999998</v>
      </c>
      <c r="H5" s="511">
        <f>G5*(1-'Dealer Inputs'!$D$22)*(1-'Dealer Inputs'!$H$22)*(1-'Dealer Inputs'!$L$22)</f>
        <v>8.995499999999998</v>
      </c>
      <c r="I5" s="512">
        <v>19.99</v>
      </c>
      <c r="J5" s="511"/>
      <c r="K5" s="511"/>
      <c r="L5" s="511"/>
      <c r="M5" s="511"/>
      <c r="N5" s="511"/>
      <c r="O5" s="511"/>
      <c r="P5" s="513">
        <f>H5*F5</f>
        <v>0</v>
      </c>
    </row>
    <row r="6" spans="1:16" ht="7.5" customHeight="1">
      <c r="A6" s="514"/>
      <c r="B6" s="514"/>
      <c r="C6" s="514"/>
      <c r="D6" s="514"/>
      <c r="E6" s="514"/>
      <c r="F6" s="514"/>
      <c r="G6" s="554"/>
      <c r="H6" s="514"/>
      <c r="I6" s="514"/>
      <c r="J6" s="514"/>
      <c r="K6" s="514"/>
      <c r="L6" s="514"/>
      <c r="M6" s="514"/>
      <c r="N6" s="514"/>
      <c r="O6" s="514"/>
      <c r="P6" s="513"/>
    </row>
    <row r="7" spans="1:16" ht="10.5">
      <c r="A7" s="507">
        <v>2118173</v>
      </c>
      <c r="B7" s="508" t="s">
        <v>451</v>
      </c>
      <c r="C7" s="509"/>
      <c r="D7" s="509"/>
      <c r="E7" s="509"/>
      <c r="F7" s="510">
        <f>SUM(C7:E7)</f>
        <v>0</v>
      </c>
      <c r="G7" s="554">
        <f>I7*0.6</f>
        <v>4.794</v>
      </c>
      <c r="H7" s="511">
        <f>G7*(1-'Dealer Inputs'!$D$22)*(1-'Dealer Inputs'!$H$22)*(1-'Dealer Inputs'!$L$22)</f>
        <v>3.5954999999999995</v>
      </c>
      <c r="I7" s="512">
        <v>7.99</v>
      </c>
      <c r="J7" s="511"/>
      <c r="K7" s="511"/>
      <c r="L7" s="511"/>
      <c r="M7" s="511"/>
      <c r="N7" s="511"/>
      <c r="O7" s="511"/>
      <c r="P7" s="513">
        <f>H7*F7</f>
        <v>0</v>
      </c>
    </row>
    <row r="8" spans="1:16" ht="10.5">
      <c r="A8" s="507">
        <v>2118174</v>
      </c>
      <c r="B8" s="508" t="s">
        <v>452</v>
      </c>
      <c r="C8" s="509"/>
      <c r="D8" s="509"/>
      <c r="E8" s="509"/>
      <c r="F8" s="510">
        <f>SUM(C8:E8)</f>
        <v>0</v>
      </c>
      <c r="G8" s="554">
        <f>I8*0.6</f>
        <v>4.794</v>
      </c>
      <c r="H8" s="511">
        <f>G8*(1-'Dealer Inputs'!$D$22)*(1-'Dealer Inputs'!$H$22)*(1-'Dealer Inputs'!$L$22)</f>
        <v>3.5954999999999995</v>
      </c>
      <c r="I8" s="512">
        <v>7.99</v>
      </c>
      <c r="J8" s="511"/>
      <c r="K8" s="511"/>
      <c r="L8" s="511"/>
      <c r="M8" s="511"/>
      <c r="N8" s="511"/>
      <c r="O8" s="511"/>
      <c r="P8" s="513">
        <f>H8*F8</f>
        <v>0</v>
      </c>
    </row>
    <row r="9" spans="1:16" ht="16.5" customHeight="1">
      <c r="A9" s="723" t="s">
        <v>444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</row>
    <row r="10" spans="1:16" ht="12.75" customHeight="1">
      <c r="A10" s="507">
        <v>2108184</v>
      </c>
      <c r="B10" s="515" t="s">
        <v>299</v>
      </c>
      <c r="C10" s="509"/>
      <c r="D10" s="509"/>
      <c r="E10" s="509"/>
      <c r="F10" s="510">
        <f>SUM(C10:E10)</f>
        <v>0</v>
      </c>
      <c r="G10" s="554">
        <f>I10*0.6</f>
        <v>47.99399999999999</v>
      </c>
      <c r="H10" s="511">
        <f>G10*(1-'Dealer Inputs'!$D$22)*(1-'Dealer Inputs'!$H$22)*(1-'Dealer Inputs'!$L$22)</f>
        <v>35.99549999999999</v>
      </c>
      <c r="I10" s="516">
        <v>79.99</v>
      </c>
      <c r="J10" s="511">
        <f>SUM(C10*$G10)</f>
        <v>0</v>
      </c>
      <c r="K10" s="511">
        <f>SUM(D10*$G10)</f>
        <v>0</v>
      </c>
      <c r="L10" s="511">
        <f>SUM(E10*$G10)</f>
        <v>0</v>
      </c>
      <c r="M10" s="511">
        <f>SUM(C10*$H10)</f>
        <v>0</v>
      </c>
      <c r="N10" s="511">
        <f>SUM(D10*$H10)</f>
        <v>0</v>
      </c>
      <c r="O10" s="511">
        <f>SUM(E10*$H10)</f>
        <v>0</v>
      </c>
      <c r="P10" s="513">
        <f>H10*F10</f>
        <v>0</v>
      </c>
    </row>
    <row r="11" spans="1:16" ht="12.75" customHeight="1">
      <c r="A11" s="507">
        <v>2108185</v>
      </c>
      <c r="B11" s="515" t="s">
        <v>300</v>
      </c>
      <c r="C11" s="509"/>
      <c r="D11" s="509"/>
      <c r="E11" s="509"/>
      <c r="F11" s="510">
        <f aca="true" t="shared" si="0" ref="F11:F25">SUM(C11:E11)</f>
        <v>0</v>
      </c>
      <c r="G11" s="554">
        <f aca="true" t="shared" si="1" ref="G11:G24">I11*0.6</f>
        <v>23.994</v>
      </c>
      <c r="H11" s="511">
        <f>G11*(1-'Dealer Inputs'!$D$22)*(1-'Dealer Inputs'!$H$22)*(1-'Dealer Inputs'!$L$22)</f>
        <v>17.9955</v>
      </c>
      <c r="I11" s="517">
        <v>39.99</v>
      </c>
      <c r="J11" s="511"/>
      <c r="K11" s="511"/>
      <c r="L11" s="511"/>
      <c r="M11" s="511"/>
      <c r="N11" s="511"/>
      <c r="O11" s="511"/>
      <c r="P11" s="513">
        <f aca="true" t="shared" si="2" ref="P11:P25">H11*F11</f>
        <v>0</v>
      </c>
    </row>
    <row r="12" spans="1:16" ht="12.75" customHeight="1">
      <c r="A12" s="507">
        <v>2108186</v>
      </c>
      <c r="B12" s="515" t="s">
        <v>301</v>
      </c>
      <c r="C12" s="509"/>
      <c r="D12" s="509"/>
      <c r="E12" s="509"/>
      <c r="F12" s="510">
        <f t="shared" si="0"/>
        <v>0</v>
      </c>
      <c r="G12" s="554">
        <f t="shared" si="1"/>
        <v>5.994</v>
      </c>
      <c r="H12" s="511">
        <f>G12*(1-'Dealer Inputs'!$D$22)*(1-'Dealer Inputs'!$H$22)*(1-'Dealer Inputs'!$L$22)</f>
        <v>4.4955</v>
      </c>
      <c r="I12" s="517">
        <v>9.99</v>
      </c>
      <c r="J12" s="511"/>
      <c r="K12" s="511"/>
      <c r="L12" s="511"/>
      <c r="M12" s="511"/>
      <c r="N12" s="511"/>
      <c r="O12" s="511"/>
      <c r="P12" s="513">
        <f t="shared" si="2"/>
        <v>0</v>
      </c>
    </row>
    <row r="13" spans="1:16" ht="10.5">
      <c r="A13" s="515">
        <v>2108189</v>
      </c>
      <c r="B13" s="515" t="s">
        <v>302</v>
      </c>
      <c r="C13" s="509"/>
      <c r="D13" s="509"/>
      <c r="E13" s="509"/>
      <c r="F13" s="510">
        <f t="shared" si="0"/>
        <v>0</v>
      </c>
      <c r="G13" s="554">
        <f t="shared" si="1"/>
        <v>18</v>
      </c>
      <c r="H13" s="511">
        <f>G13*(1-'Dealer Inputs'!$D$22)*(1-'Dealer Inputs'!$H$22)*(1-'Dealer Inputs'!$L$22)</f>
        <v>13.5</v>
      </c>
      <c r="I13" s="517">
        <v>30</v>
      </c>
      <c r="J13" s="511"/>
      <c r="K13" s="511"/>
      <c r="L13" s="511"/>
      <c r="M13" s="511"/>
      <c r="N13" s="511"/>
      <c r="O13" s="511"/>
      <c r="P13" s="513">
        <f t="shared" si="2"/>
        <v>0</v>
      </c>
    </row>
    <row r="14" spans="1:16" ht="10.5">
      <c r="A14" s="515">
        <v>2108219</v>
      </c>
      <c r="B14" s="515" t="s">
        <v>303</v>
      </c>
      <c r="C14" s="509"/>
      <c r="D14" s="509"/>
      <c r="E14" s="509"/>
      <c r="F14" s="510">
        <f t="shared" si="0"/>
        <v>0</v>
      </c>
      <c r="G14" s="554">
        <f t="shared" si="1"/>
        <v>95.994</v>
      </c>
      <c r="H14" s="511">
        <f>G14*(1-'Dealer Inputs'!$D$22)*(1-'Dealer Inputs'!$H$22)*(1-'Dealer Inputs'!$L$22)</f>
        <v>71.99549999999999</v>
      </c>
      <c r="I14" s="517">
        <v>159.99</v>
      </c>
      <c r="J14" s="511"/>
      <c r="K14" s="511"/>
      <c r="L14" s="511"/>
      <c r="M14" s="511"/>
      <c r="N14" s="511"/>
      <c r="O14" s="511"/>
      <c r="P14" s="513">
        <f t="shared" si="2"/>
        <v>0</v>
      </c>
    </row>
    <row r="15" spans="1:16" ht="10.5">
      <c r="A15" s="515">
        <v>2108220</v>
      </c>
      <c r="B15" s="515" t="s">
        <v>304</v>
      </c>
      <c r="C15" s="509"/>
      <c r="D15" s="509"/>
      <c r="E15" s="509"/>
      <c r="F15" s="510">
        <f t="shared" si="0"/>
        <v>0</v>
      </c>
      <c r="G15" s="554">
        <f t="shared" si="1"/>
        <v>113.994</v>
      </c>
      <c r="H15" s="511">
        <f>G15*(1-'Dealer Inputs'!$D$22)*(1-'Dealer Inputs'!$H$22)*(1-'Dealer Inputs'!$L$22)</f>
        <v>85.49549999999999</v>
      </c>
      <c r="I15" s="517">
        <v>189.99</v>
      </c>
      <c r="J15" s="511"/>
      <c r="K15" s="511"/>
      <c r="L15" s="511"/>
      <c r="M15" s="511"/>
      <c r="N15" s="511"/>
      <c r="O15" s="511"/>
      <c r="P15" s="513">
        <f t="shared" si="2"/>
        <v>0</v>
      </c>
    </row>
    <row r="16" spans="1:16" ht="10.5">
      <c r="A16" s="515">
        <v>2128182</v>
      </c>
      <c r="B16" s="515" t="s">
        <v>305</v>
      </c>
      <c r="C16" s="509"/>
      <c r="D16" s="509"/>
      <c r="E16" s="509"/>
      <c r="F16" s="510">
        <f t="shared" si="0"/>
        <v>0</v>
      </c>
      <c r="G16" s="554">
        <f t="shared" si="1"/>
        <v>41.99399999999999</v>
      </c>
      <c r="H16" s="511">
        <f>G16*(1-'Dealer Inputs'!$D$22)*(1-'Dealer Inputs'!$H$22)*(1-'Dealer Inputs'!$L$22)</f>
        <v>31.495499999999993</v>
      </c>
      <c r="I16" s="517">
        <v>69.99</v>
      </c>
      <c r="J16" s="511">
        <f>SUM(C16*$G16)</f>
        <v>0</v>
      </c>
      <c r="K16" s="511">
        <f>SUM(D16*$G16)</f>
        <v>0</v>
      </c>
      <c r="L16" s="511">
        <f>SUM(E16*$G16)</f>
        <v>0</v>
      </c>
      <c r="M16" s="511">
        <f>SUM(C16*$H16)</f>
        <v>0</v>
      </c>
      <c r="N16" s="511">
        <f>SUM(D16*$H16)</f>
        <v>0</v>
      </c>
      <c r="O16" s="511">
        <f>SUM(E16*$H16)</f>
        <v>0</v>
      </c>
      <c r="P16" s="513">
        <f t="shared" si="2"/>
        <v>0</v>
      </c>
    </row>
    <row r="17" spans="1:16" ht="10.5">
      <c r="A17" s="515">
        <v>2118196</v>
      </c>
      <c r="B17" s="515" t="s">
        <v>306</v>
      </c>
      <c r="C17" s="509"/>
      <c r="D17" s="509"/>
      <c r="E17" s="509"/>
      <c r="F17" s="510">
        <f t="shared" si="0"/>
        <v>0</v>
      </c>
      <c r="G17" s="554">
        <f t="shared" si="1"/>
        <v>8.994</v>
      </c>
      <c r="H17" s="511">
        <f>G17*(1-'Dealer Inputs'!$D$22)*(1-'Dealer Inputs'!$H$22)*(1-'Dealer Inputs'!$L$22)</f>
        <v>6.7455</v>
      </c>
      <c r="I17" s="517">
        <v>14.99</v>
      </c>
      <c r="J17" s="511"/>
      <c r="K17" s="511"/>
      <c r="L17" s="511"/>
      <c r="M17" s="511"/>
      <c r="N17" s="511"/>
      <c r="O17" s="511"/>
      <c r="P17" s="513">
        <f t="shared" si="2"/>
        <v>0</v>
      </c>
    </row>
    <row r="18" spans="1:16" ht="10.5">
      <c r="A18" s="515">
        <v>2098206</v>
      </c>
      <c r="B18" s="507" t="s">
        <v>307</v>
      </c>
      <c r="C18" s="509"/>
      <c r="D18" s="509"/>
      <c r="E18" s="509"/>
      <c r="F18" s="510">
        <f t="shared" si="0"/>
        <v>0</v>
      </c>
      <c r="G18" s="554">
        <f t="shared" si="1"/>
        <v>8.994</v>
      </c>
      <c r="H18" s="511">
        <f>G18*(1-'Dealer Inputs'!$D$22)*(1-'Dealer Inputs'!$H$22)*(1-'Dealer Inputs'!$L$22)</f>
        <v>6.7455</v>
      </c>
      <c r="I18" s="517">
        <v>14.99</v>
      </c>
      <c r="J18" s="511"/>
      <c r="K18" s="511"/>
      <c r="L18" s="511"/>
      <c r="M18" s="511"/>
      <c r="N18" s="511"/>
      <c r="O18" s="511"/>
      <c r="P18" s="513">
        <f t="shared" si="2"/>
        <v>0</v>
      </c>
    </row>
    <row r="19" spans="1:16" ht="10.5">
      <c r="A19" s="515">
        <v>2108187</v>
      </c>
      <c r="B19" s="515" t="s">
        <v>308</v>
      </c>
      <c r="C19" s="509"/>
      <c r="D19" s="509"/>
      <c r="E19" s="509"/>
      <c r="F19" s="510">
        <f t="shared" si="0"/>
        <v>0</v>
      </c>
      <c r="G19" s="554">
        <f t="shared" si="1"/>
        <v>5.994</v>
      </c>
      <c r="H19" s="511">
        <f>G19*(1-'Dealer Inputs'!$D$22)*(1-'Dealer Inputs'!$H$22)*(1-'Dealer Inputs'!$L$22)</f>
        <v>4.4955</v>
      </c>
      <c r="I19" s="517">
        <v>9.99</v>
      </c>
      <c r="J19" s="511"/>
      <c r="K19" s="511"/>
      <c r="L19" s="511"/>
      <c r="M19" s="511"/>
      <c r="N19" s="511"/>
      <c r="O19" s="511"/>
      <c r="P19" s="513">
        <f t="shared" si="2"/>
        <v>0</v>
      </c>
    </row>
    <row r="20" spans="1:16" ht="10.5">
      <c r="A20" s="515">
        <v>2128142</v>
      </c>
      <c r="B20" s="515" t="s">
        <v>309</v>
      </c>
      <c r="C20" s="509"/>
      <c r="D20" s="509"/>
      <c r="E20" s="509"/>
      <c r="F20" s="510">
        <f t="shared" si="0"/>
        <v>0</v>
      </c>
      <c r="G20" s="554">
        <f t="shared" si="1"/>
        <v>29.994</v>
      </c>
      <c r="H20" s="511">
        <f>G20*(1-'Dealer Inputs'!$D$22)*(1-'Dealer Inputs'!$H$22)*(1-'Dealer Inputs'!$L$22)</f>
        <v>22.4955</v>
      </c>
      <c r="I20" s="517">
        <v>49.99</v>
      </c>
      <c r="J20" s="511"/>
      <c r="K20" s="511"/>
      <c r="L20" s="511"/>
      <c r="M20" s="511"/>
      <c r="N20" s="511"/>
      <c r="O20" s="511"/>
      <c r="P20" s="513">
        <f t="shared" si="2"/>
        <v>0</v>
      </c>
    </row>
    <row r="21" spans="1:16" ht="10.5">
      <c r="A21" s="515">
        <v>2118198</v>
      </c>
      <c r="B21" s="507" t="s">
        <v>107</v>
      </c>
      <c r="C21" s="509"/>
      <c r="D21" s="509"/>
      <c r="E21" s="509"/>
      <c r="F21" s="510">
        <f t="shared" si="0"/>
        <v>0</v>
      </c>
      <c r="G21" s="554">
        <f t="shared" si="1"/>
        <v>17.994</v>
      </c>
      <c r="H21" s="511">
        <f>G21*(1-'Dealer Inputs'!$D$22)*(1-'Dealer Inputs'!$H$22)*(1-'Dealer Inputs'!$L$22)</f>
        <v>13.4955</v>
      </c>
      <c r="I21" s="517">
        <v>29.99</v>
      </c>
      <c r="J21" s="511"/>
      <c r="K21" s="511"/>
      <c r="L21" s="511"/>
      <c r="M21" s="511"/>
      <c r="N21" s="511"/>
      <c r="O21" s="511"/>
      <c r="P21" s="513">
        <f t="shared" si="2"/>
        <v>0</v>
      </c>
    </row>
    <row r="22" spans="1:16" ht="10.5">
      <c r="A22" s="515">
        <v>2108222</v>
      </c>
      <c r="B22" s="507" t="s">
        <v>108</v>
      </c>
      <c r="C22" s="509"/>
      <c r="D22" s="509"/>
      <c r="E22" s="509"/>
      <c r="F22" s="510">
        <f t="shared" si="0"/>
        <v>0</v>
      </c>
      <c r="G22" s="554">
        <f t="shared" si="1"/>
        <v>17.994</v>
      </c>
      <c r="H22" s="511">
        <f>G22*(1-'Dealer Inputs'!$D$22)*(1-'Dealer Inputs'!$H$22)*(1-'Dealer Inputs'!$L$22)</f>
        <v>13.4955</v>
      </c>
      <c r="I22" s="517">
        <v>29.99</v>
      </c>
      <c r="J22" s="511"/>
      <c r="K22" s="511"/>
      <c r="L22" s="511"/>
      <c r="M22" s="511"/>
      <c r="N22" s="511"/>
      <c r="O22" s="511"/>
      <c r="P22" s="513">
        <f t="shared" si="2"/>
        <v>0</v>
      </c>
    </row>
    <row r="23" spans="1:16" ht="12.75" customHeight="1">
      <c r="A23" s="518">
        <v>2098211</v>
      </c>
      <c r="B23" s="507" t="s">
        <v>109</v>
      </c>
      <c r="C23" s="509"/>
      <c r="D23" s="509"/>
      <c r="E23" s="509"/>
      <c r="F23" s="510">
        <f t="shared" si="0"/>
        <v>0</v>
      </c>
      <c r="G23" s="554">
        <f t="shared" si="1"/>
        <v>23.994</v>
      </c>
      <c r="H23" s="511">
        <f>G23*(1-'Dealer Inputs'!$D$22)*(1-'Dealer Inputs'!$H$22)*(1-'Dealer Inputs'!$L$22)</f>
        <v>17.9955</v>
      </c>
      <c r="I23" s="517">
        <v>39.99</v>
      </c>
      <c r="J23" s="511"/>
      <c r="K23" s="511"/>
      <c r="L23" s="511"/>
      <c r="M23" s="511"/>
      <c r="N23" s="511"/>
      <c r="O23" s="511"/>
      <c r="P23" s="513">
        <f t="shared" si="2"/>
        <v>0</v>
      </c>
    </row>
    <row r="24" spans="1:16" ht="12.75" customHeight="1">
      <c r="A24" s="518">
        <v>2118199</v>
      </c>
      <c r="B24" s="507" t="s">
        <v>110</v>
      </c>
      <c r="C24" s="509"/>
      <c r="D24" s="509"/>
      <c r="E24" s="509"/>
      <c r="F24" s="510">
        <f t="shared" si="0"/>
        <v>0</v>
      </c>
      <c r="G24" s="554">
        <f t="shared" si="1"/>
        <v>5.994</v>
      </c>
      <c r="H24" s="511">
        <f>G24*(1-'Dealer Inputs'!$D$22)*(1-'Dealer Inputs'!$H$22)*(1-'Dealer Inputs'!$L$22)</f>
        <v>4.4955</v>
      </c>
      <c r="I24" s="516">
        <v>9.99</v>
      </c>
      <c r="J24" s="511"/>
      <c r="K24" s="511"/>
      <c r="L24" s="511"/>
      <c r="M24" s="511"/>
      <c r="N24" s="511"/>
      <c r="O24" s="511"/>
      <c r="P24" s="513">
        <f t="shared" si="2"/>
        <v>0</v>
      </c>
    </row>
    <row r="25" spans="1:16" ht="10.5">
      <c r="A25" s="518">
        <v>2128183</v>
      </c>
      <c r="B25" s="507" t="s">
        <v>113</v>
      </c>
      <c r="C25" s="509"/>
      <c r="D25" s="509"/>
      <c r="E25" s="509"/>
      <c r="F25" s="510">
        <f t="shared" si="0"/>
        <v>0</v>
      </c>
      <c r="G25" s="554">
        <f>I25*0.6</f>
        <v>41.99399999999999</v>
      </c>
      <c r="H25" s="511">
        <f>G25*(1-'Dealer Inputs'!$D$22)*(1-'Dealer Inputs'!$H$22)*(1-'Dealer Inputs'!$L$22)</f>
        <v>31.495499999999993</v>
      </c>
      <c r="I25" s="517">
        <v>69.99</v>
      </c>
      <c r="J25" s="511"/>
      <c r="K25" s="511"/>
      <c r="L25" s="511"/>
      <c r="M25" s="511"/>
      <c r="N25" s="511"/>
      <c r="O25" s="511"/>
      <c r="P25" s="513">
        <f t="shared" si="2"/>
        <v>0</v>
      </c>
    </row>
    <row r="26" spans="1:16" ht="18.75" customHeight="1">
      <c r="A26" s="724" t="s">
        <v>442</v>
      </c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</row>
    <row r="27" spans="1:16" ht="13.5" customHeight="1">
      <c r="A27" s="518">
        <v>2118216</v>
      </c>
      <c r="B27" s="507" t="s">
        <v>111</v>
      </c>
      <c r="C27" s="509"/>
      <c r="D27" s="509"/>
      <c r="E27" s="509"/>
      <c r="F27" s="510">
        <f>SUM(C27:E27)</f>
        <v>0</v>
      </c>
      <c r="G27" s="554">
        <f>I27*0.6</f>
        <v>9</v>
      </c>
      <c r="H27" s="511">
        <f>G27*(1-'Dealer Inputs'!$D$22)*(1-'Dealer Inputs'!$H$22)*(1-'Dealer Inputs'!$L$22)</f>
        <v>6.75</v>
      </c>
      <c r="I27" s="519">
        <v>15</v>
      </c>
      <c r="J27" s="511">
        <f>SUM(C27*$G27)</f>
        <v>0</v>
      </c>
      <c r="K27" s="511">
        <f>SUM(D27*$G27)</f>
        <v>0</v>
      </c>
      <c r="L27" s="511">
        <f>SUM(E27*$G27)</f>
        <v>0</v>
      </c>
      <c r="M27" s="511">
        <f>SUM(C27*$H27)</f>
        <v>0</v>
      </c>
      <c r="N27" s="511">
        <f>SUM(D27*$H27)</f>
        <v>0</v>
      </c>
      <c r="O27" s="511">
        <f>SUM(E27*$H27)</f>
        <v>0</v>
      </c>
      <c r="P27" s="513">
        <f>H27*F27</f>
        <v>0</v>
      </c>
    </row>
    <row r="28" spans="1:16" ht="10.5">
      <c r="A28" s="518">
        <v>2118215</v>
      </c>
      <c r="B28" s="507" t="s">
        <v>112</v>
      </c>
      <c r="C28" s="509"/>
      <c r="D28" s="509"/>
      <c r="E28" s="509"/>
      <c r="F28" s="510">
        <f>SUM(C28:E28)</f>
        <v>0</v>
      </c>
      <c r="G28" s="554">
        <f>I28*0.6</f>
        <v>11.993999999999998</v>
      </c>
      <c r="H28" s="511">
        <f>G28*(1-'Dealer Inputs'!$D$22)*(1-'Dealer Inputs'!$H$22)*(1-'Dealer Inputs'!$L$22)</f>
        <v>8.995499999999998</v>
      </c>
      <c r="I28" s="519">
        <v>19.99</v>
      </c>
      <c r="J28" s="511"/>
      <c r="K28" s="511"/>
      <c r="L28" s="511"/>
      <c r="M28" s="511"/>
      <c r="N28" s="511"/>
      <c r="O28" s="511"/>
      <c r="P28" s="513">
        <f>H28*F28</f>
        <v>0</v>
      </c>
    </row>
    <row r="29" spans="1:16" ht="10.5">
      <c r="A29" s="518">
        <v>2108239</v>
      </c>
      <c r="B29" s="507" t="s">
        <v>211</v>
      </c>
      <c r="C29" s="509"/>
      <c r="D29" s="509"/>
      <c r="E29" s="509"/>
      <c r="F29" s="510">
        <f>SUM(C29:E29)</f>
        <v>0</v>
      </c>
      <c r="G29" s="554">
        <f>I29*0.6</f>
        <v>11.993999999999998</v>
      </c>
      <c r="H29" s="511">
        <f>G29*(1-'Dealer Inputs'!$D$22)*(1-'Dealer Inputs'!$H$22)*(1-'Dealer Inputs'!$L$22)</f>
        <v>8.995499999999998</v>
      </c>
      <c r="I29" s="519">
        <v>19.99</v>
      </c>
      <c r="J29" s="511"/>
      <c r="K29" s="511"/>
      <c r="L29" s="511"/>
      <c r="M29" s="511"/>
      <c r="N29" s="511"/>
      <c r="O29" s="511"/>
      <c r="P29" s="513">
        <f>F29*H29</f>
        <v>0</v>
      </c>
    </row>
    <row r="30" spans="1:16" ht="21" customHeight="1">
      <c r="A30" s="723" t="s">
        <v>443</v>
      </c>
      <c r="B30" s="723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</row>
    <row r="31" spans="1:16" ht="12.75" customHeight="1">
      <c r="A31" s="507">
        <v>2128166</v>
      </c>
      <c r="B31" s="515" t="s">
        <v>276</v>
      </c>
      <c r="C31" s="509"/>
      <c r="D31" s="509"/>
      <c r="E31" s="509"/>
      <c r="F31" s="510">
        <f>SUM(C31:E31)</f>
        <v>0</v>
      </c>
      <c r="G31" s="554">
        <f>SUM(I31*0.6)</f>
        <v>53.99399999999999</v>
      </c>
      <c r="H31" s="511">
        <f>G31*(1-'Dealer Inputs'!$D$22)*(1-'Dealer Inputs'!$H$22)*(1-'Dealer Inputs'!$L$22)</f>
        <v>40.49549999999999</v>
      </c>
      <c r="I31" s="517">
        <v>89.99</v>
      </c>
      <c r="J31" s="511"/>
      <c r="K31" s="511"/>
      <c r="L31" s="511"/>
      <c r="M31" s="511"/>
      <c r="N31" s="511"/>
      <c r="O31" s="511"/>
      <c r="P31" s="513">
        <f>H31*F31</f>
        <v>0</v>
      </c>
    </row>
    <row r="32" spans="1:16" ht="12.75" customHeight="1">
      <c r="A32" s="507">
        <v>2128167</v>
      </c>
      <c r="B32" s="515" t="s">
        <v>277</v>
      </c>
      <c r="C32" s="509"/>
      <c r="D32" s="509"/>
      <c r="E32" s="509"/>
      <c r="F32" s="510">
        <f aca="true" t="shared" si="3" ref="F32:F49">SUM(C32:E32)</f>
        <v>0</v>
      </c>
      <c r="G32" s="554">
        <f aca="true" t="shared" si="4" ref="G32:G49">SUM(I32*0.6)</f>
        <v>56.99399999999999</v>
      </c>
      <c r="H32" s="511">
        <f>G32*(1-'Dealer Inputs'!$D$22)*(1-'Dealer Inputs'!$H$22)*(1-'Dealer Inputs'!$L$22)</f>
        <v>42.74549999999999</v>
      </c>
      <c r="I32" s="517">
        <v>94.99</v>
      </c>
      <c r="J32" s="511"/>
      <c r="K32" s="511"/>
      <c r="L32" s="511"/>
      <c r="M32" s="511"/>
      <c r="N32" s="511"/>
      <c r="O32" s="511"/>
      <c r="P32" s="513">
        <f aca="true" t="shared" si="5" ref="P32:P49">H32*F32</f>
        <v>0</v>
      </c>
    </row>
    <row r="33" spans="1:16" ht="10.5">
      <c r="A33" s="507">
        <v>2128168</v>
      </c>
      <c r="B33" s="515" t="s">
        <v>278</v>
      </c>
      <c r="C33" s="509"/>
      <c r="D33" s="509"/>
      <c r="E33" s="509"/>
      <c r="F33" s="510">
        <f t="shared" si="3"/>
        <v>0</v>
      </c>
      <c r="G33" s="554">
        <f t="shared" si="4"/>
        <v>59.99399999999999</v>
      </c>
      <c r="H33" s="511">
        <f>G33*(1-'Dealer Inputs'!$D$22)*(1-'Dealer Inputs'!$H$22)*(1-'Dealer Inputs'!$L$22)</f>
        <v>44.99549999999999</v>
      </c>
      <c r="I33" s="517">
        <v>99.99</v>
      </c>
      <c r="J33" s="511"/>
      <c r="K33" s="511"/>
      <c r="L33" s="511"/>
      <c r="M33" s="511"/>
      <c r="N33" s="511"/>
      <c r="O33" s="511"/>
      <c r="P33" s="513">
        <f t="shared" si="5"/>
        <v>0</v>
      </c>
    </row>
    <row r="34" spans="1:16" ht="15" customHeight="1">
      <c r="A34" s="507">
        <v>2128169</v>
      </c>
      <c r="B34" s="515" t="s">
        <v>162</v>
      </c>
      <c r="C34" s="509"/>
      <c r="D34" s="509"/>
      <c r="E34" s="509"/>
      <c r="F34" s="510">
        <f t="shared" si="3"/>
        <v>0</v>
      </c>
      <c r="G34" s="554">
        <f t="shared" si="4"/>
        <v>65.994</v>
      </c>
      <c r="H34" s="511">
        <f>G34*(1-'Dealer Inputs'!$D$22)*(1-'Dealer Inputs'!$H$22)*(1-'Dealer Inputs'!$L$22)</f>
        <v>49.4955</v>
      </c>
      <c r="I34" s="517">
        <v>109.99</v>
      </c>
      <c r="J34" s="511"/>
      <c r="K34" s="511"/>
      <c r="L34" s="511"/>
      <c r="M34" s="511"/>
      <c r="N34" s="511"/>
      <c r="O34" s="511"/>
      <c r="P34" s="513">
        <f t="shared" si="5"/>
        <v>0</v>
      </c>
    </row>
    <row r="35" spans="1:16" ht="14.25" customHeight="1">
      <c r="A35" s="507">
        <v>2128170</v>
      </c>
      <c r="B35" s="515" t="s">
        <v>163</v>
      </c>
      <c r="C35" s="509"/>
      <c r="D35" s="509"/>
      <c r="E35" s="509"/>
      <c r="F35" s="510">
        <f t="shared" si="3"/>
        <v>0</v>
      </c>
      <c r="G35" s="554">
        <f t="shared" si="4"/>
        <v>71.994</v>
      </c>
      <c r="H35" s="511">
        <f>G35*(1-'Dealer Inputs'!$D$22)*(1-'Dealer Inputs'!$H$22)*(1-'Dealer Inputs'!$L$22)</f>
        <v>53.9955</v>
      </c>
      <c r="I35" s="517">
        <v>119.99</v>
      </c>
      <c r="J35" s="511"/>
      <c r="K35" s="511"/>
      <c r="L35" s="511"/>
      <c r="M35" s="511"/>
      <c r="N35" s="511"/>
      <c r="O35" s="511"/>
      <c r="P35" s="513">
        <f t="shared" si="5"/>
        <v>0</v>
      </c>
    </row>
    <row r="36" spans="1:16" ht="6" customHeight="1">
      <c r="A36" s="507"/>
      <c r="B36" s="515"/>
      <c r="C36" s="509"/>
      <c r="D36" s="509"/>
      <c r="E36" s="509"/>
      <c r="F36" s="510"/>
      <c r="G36" s="554"/>
      <c r="H36" s="511"/>
      <c r="I36" s="507"/>
      <c r="J36" s="511"/>
      <c r="K36" s="511"/>
      <c r="L36" s="511"/>
      <c r="M36" s="511"/>
      <c r="N36" s="511"/>
      <c r="O36" s="511"/>
      <c r="P36" s="513"/>
    </row>
    <row r="37" spans="1:16" ht="12" customHeight="1">
      <c r="A37" s="507">
        <v>2128176</v>
      </c>
      <c r="B37" s="515" t="s">
        <v>164</v>
      </c>
      <c r="C37" s="509"/>
      <c r="D37" s="509"/>
      <c r="E37" s="509"/>
      <c r="F37" s="510">
        <f t="shared" si="3"/>
        <v>0</v>
      </c>
      <c r="G37" s="554">
        <f t="shared" si="4"/>
        <v>59.99399999999999</v>
      </c>
      <c r="H37" s="511">
        <f>G37*(1-'Dealer Inputs'!$D$22)*(1-'Dealer Inputs'!$H$22)*(1-'Dealer Inputs'!$L$22)</f>
        <v>44.99549999999999</v>
      </c>
      <c r="I37" s="517">
        <v>99.99</v>
      </c>
      <c r="J37" s="511"/>
      <c r="K37" s="511"/>
      <c r="L37" s="511"/>
      <c r="M37" s="511"/>
      <c r="N37" s="511"/>
      <c r="O37" s="511"/>
      <c r="P37" s="513">
        <f t="shared" si="5"/>
        <v>0</v>
      </c>
    </row>
    <row r="38" spans="1:16" ht="13.5" customHeight="1">
      <c r="A38" s="507">
        <v>2128177</v>
      </c>
      <c r="B38" s="515" t="s">
        <v>165</v>
      </c>
      <c r="C38" s="509"/>
      <c r="D38" s="509"/>
      <c r="E38" s="509"/>
      <c r="F38" s="510">
        <f t="shared" si="3"/>
        <v>0</v>
      </c>
      <c r="G38" s="554">
        <f t="shared" si="4"/>
        <v>65.994</v>
      </c>
      <c r="H38" s="511">
        <f>G38*(1-'Dealer Inputs'!$D$22)*(1-'Dealer Inputs'!$H$22)*(1-'Dealer Inputs'!$L$22)</f>
        <v>49.4955</v>
      </c>
      <c r="I38" s="517">
        <v>109.99</v>
      </c>
      <c r="J38" s="511"/>
      <c r="K38" s="511"/>
      <c r="L38" s="511"/>
      <c r="M38" s="511"/>
      <c r="N38" s="511"/>
      <c r="O38" s="511"/>
      <c r="P38" s="513">
        <f t="shared" si="5"/>
        <v>0</v>
      </c>
    </row>
    <row r="39" spans="1:16" ht="10.5">
      <c r="A39" s="507">
        <v>2128178</v>
      </c>
      <c r="B39" s="515" t="s">
        <v>166</v>
      </c>
      <c r="C39" s="509"/>
      <c r="D39" s="509"/>
      <c r="E39" s="509"/>
      <c r="F39" s="510">
        <f t="shared" si="3"/>
        <v>0</v>
      </c>
      <c r="G39" s="554">
        <f t="shared" si="4"/>
        <v>71.994</v>
      </c>
      <c r="H39" s="511">
        <f>G39*(1-'Dealer Inputs'!$D$22)*(1-'Dealer Inputs'!$H$22)*(1-'Dealer Inputs'!$L$22)</f>
        <v>53.9955</v>
      </c>
      <c r="I39" s="517">
        <v>119.99</v>
      </c>
      <c r="J39" s="511"/>
      <c r="K39" s="511"/>
      <c r="L39" s="511"/>
      <c r="M39" s="511"/>
      <c r="N39" s="511"/>
      <c r="O39" s="511"/>
      <c r="P39" s="513">
        <f t="shared" si="5"/>
        <v>0</v>
      </c>
    </row>
    <row r="40" spans="1:16" ht="10.5">
      <c r="A40" s="507">
        <v>2128179</v>
      </c>
      <c r="B40" s="515" t="s">
        <v>167</v>
      </c>
      <c r="C40" s="509"/>
      <c r="D40" s="509"/>
      <c r="E40" s="509"/>
      <c r="F40" s="510">
        <f t="shared" si="3"/>
        <v>0</v>
      </c>
      <c r="G40" s="554">
        <f t="shared" si="4"/>
        <v>77.994</v>
      </c>
      <c r="H40" s="511">
        <f>G40*(1-'Dealer Inputs'!$D$22)*(1-'Dealer Inputs'!$H$22)*(1-'Dealer Inputs'!$L$22)</f>
        <v>58.4955</v>
      </c>
      <c r="I40" s="517">
        <v>129.99</v>
      </c>
      <c r="J40" s="511"/>
      <c r="K40" s="511"/>
      <c r="L40" s="511"/>
      <c r="M40" s="511"/>
      <c r="N40" s="511"/>
      <c r="O40" s="511"/>
      <c r="P40" s="513">
        <f t="shared" si="5"/>
        <v>0</v>
      </c>
    </row>
    <row r="41" spans="1:16" ht="10.5">
      <c r="A41" s="507">
        <v>2128180</v>
      </c>
      <c r="B41" s="515" t="s">
        <v>168</v>
      </c>
      <c r="C41" s="509"/>
      <c r="D41" s="509"/>
      <c r="E41" s="509"/>
      <c r="F41" s="510">
        <f t="shared" si="3"/>
        <v>0</v>
      </c>
      <c r="G41" s="554">
        <f t="shared" si="4"/>
        <v>83.994</v>
      </c>
      <c r="H41" s="511">
        <f>G41*(1-'Dealer Inputs'!$D$22)*(1-'Dealer Inputs'!$H$22)*(1-'Dealer Inputs'!$L$22)</f>
        <v>62.9955</v>
      </c>
      <c r="I41" s="517">
        <v>139.99</v>
      </c>
      <c r="J41" s="511"/>
      <c r="K41" s="511"/>
      <c r="L41" s="511"/>
      <c r="M41" s="511"/>
      <c r="N41" s="511"/>
      <c r="O41" s="511"/>
      <c r="P41" s="513">
        <f t="shared" si="5"/>
        <v>0</v>
      </c>
    </row>
    <row r="42" spans="1:16" ht="10.5">
      <c r="A42" s="507">
        <v>2128181</v>
      </c>
      <c r="B42" s="515" t="s">
        <v>169</v>
      </c>
      <c r="C42" s="509"/>
      <c r="D42" s="509"/>
      <c r="E42" s="509"/>
      <c r="F42" s="510">
        <f t="shared" si="3"/>
        <v>0</v>
      </c>
      <c r="G42" s="554">
        <f t="shared" si="4"/>
        <v>89.994</v>
      </c>
      <c r="H42" s="511">
        <f>G42*(1-'Dealer Inputs'!$D$22)*(1-'Dealer Inputs'!$H$22)*(1-'Dealer Inputs'!$L$22)</f>
        <v>67.49549999999999</v>
      </c>
      <c r="I42" s="517">
        <v>149.99</v>
      </c>
      <c r="J42" s="511"/>
      <c r="K42" s="511"/>
      <c r="L42" s="511"/>
      <c r="M42" s="511"/>
      <c r="N42" s="511"/>
      <c r="O42" s="511"/>
      <c r="P42" s="513">
        <f t="shared" si="5"/>
        <v>0</v>
      </c>
    </row>
    <row r="43" spans="1:16" ht="3.75" customHeight="1">
      <c r="A43" s="514"/>
      <c r="B43" s="515"/>
      <c r="C43" s="509"/>
      <c r="D43" s="509"/>
      <c r="E43" s="509"/>
      <c r="F43" s="510"/>
      <c r="G43" s="554"/>
      <c r="H43" s="511"/>
      <c r="I43" s="507"/>
      <c r="J43" s="511"/>
      <c r="K43" s="511"/>
      <c r="L43" s="511"/>
      <c r="M43" s="511"/>
      <c r="N43" s="511"/>
      <c r="O43" s="511"/>
      <c r="P43" s="513"/>
    </row>
    <row r="44" spans="1:16" ht="10.5">
      <c r="A44" s="507">
        <v>2128149</v>
      </c>
      <c r="B44" s="515" t="s">
        <v>170</v>
      </c>
      <c r="C44" s="509"/>
      <c r="D44" s="509"/>
      <c r="E44" s="509"/>
      <c r="F44" s="510">
        <f t="shared" si="3"/>
        <v>0</v>
      </c>
      <c r="G44" s="554">
        <f t="shared" si="4"/>
        <v>59.99399999999999</v>
      </c>
      <c r="H44" s="511">
        <f>G44*(1-'Dealer Inputs'!$D$22)*(1-'Dealer Inputs'!$H$22)*(1-'Dealer Inputs'!$L$22)</f>
        <v>44.99549999999999</v>
      </c>
      <c r="I44" s="517">
        <v>99.99</v>
      </c>
      <c r="J44" s="511"/>
      <c r="K44" s="511"/>
      <c r="L44" s="511"/>
      <c r="M44" s="511"/>
      <c r="N44" s="511"/>
      <c r="O44" s="511"/>
      <c r="P44" s="513">
        <f t="shared" si="5"/>
        <v>0</v>
      </c>
    </row>
    <row r="45" spans="1:16" ht="10.5">
      <c r="A45" s="507">
        <v>2128150</v>
      </c>
      <c r="B45" s="515" t="s">
        <v>171</v>
      </c>
      <c r="C45" s="509"/>
      <c r="D45" s="509"/>
      <c r="E45" s="509"/>
      <c r="F45" s="510">
        <f t="shared" si="3"/>
        <v>0</v>
      </c>
      <c r="G45" s="554">
        <f t="shared" si="4"/>
        <v>65.994</v>
      </c>
      <c r="H45" s="511">
        <f>G45*(1-'Dealer Inputs'!$D$22)*(1-'Dealer Inputs'!$H$22)*(1-'Dealer Inputs'!$L$22)</f>
        <v>49.4955</v>
      </c>
      <c r="I45" s="517">
        <v>109.99</v>
      </c>
      <c r="J45" s="511"/>
      <c r="K45" s="511"/>
      <c r="L45" s="511"/>
      <c r="M45" s="511"/>
      <c r="N45" s="511"/>
      <c r="O45" s="511"/>
      <c r="P45" s="513">
        <f t="shared" si="5"/>
        <v>0</v>
      </c>
    </row>
    <row r="46" spans="1:16" ht="12.75" customHeight="1">
      <c r="A46" s="507">
        <v>2128151</v>
      </c>
      <c r="B46" s="515" t="s">
        <v>172</v>
      </c>
      <c r="C46" s="509"/>
      <c r="D46" s="509"/>
      <c r="E46" s="509"/>
      <c r="F46" s="510">
        <f t="shared" si="3"/>
        <v>0</v>
      </c>
      <c r="G46" s="554">
        <f t="shared" si="4"/>
        <v>71.994</v>
      </c>
      <c r="H46" s="511">
        <f>G46*(1-'Dealer Inputs'!$D$22)*(1-'Dealer Inputs'!$H$22)*(1-'Dealer Inputs'!$L$22)</f>
        <v>53.9955</v>
      </c>
      <c r="I46" s="517">
        <v>119.99</v>
      </c>
      <c r="J46" s="511"/>
      <c r="K46" s="511"/>
      <c r="L46" s="511"/>
      <c r="M46" s="511"/>
      <c r="N46" s="511"/>
      <c r="O46" s="511"/>
      <c r="P46" s="513">
        <f t="shared" si="5"/>
        <v>0</v>
      </c>
    </row>
    <row r="47" spans="1:16" ht="12.75" customHeight="1">
      <c r="A47" s="507">
        <v>2128152</v>
      </c>
      <c r="B47" s="515" t="s">
        <v>173</v>
      </c>
      <c r="C47" s="509"/>
      <c r="D47" s="509"/>
      <c r="E47" s="509"/>
      <c r="F47" s="510">
        <f t="shared" si="3"/>
        <v>0</v>
      </c>
      <c r="G47" s="554">
        <f t="shared" si="4"/>
        <v>77.994</v>
      </c>
      <c r="H47" s="511">
        <f>G47*(1-'Dealer Inputs'!$D$22)*(1-'Dealer Inputs'!$H$22)*(1-'Dealer Inputs'!$L$22)</f>
        <v>58.4955</v>
      </c>
      <c r="I47" s="517">
        <v>129.99</v>
      </c>
      <c r="J47" s="511"/>
      <c r="K47" s="511"/>
      <c r="L47" s="511"/>
      <c r="M47" s="511"/>
      <c r="N47" s="511"/>
      <c r="O47" s="511"/>
      <c r="P47" s="513">
        <f t="shared" si="5"/>
        <v>0</v>
      </c>
    </row>
    <row r="48" spans="1:16" ht="12.75" customHeight="1">
      <c r="A48" s="507">
        <v>2128153</v>
      </c>
      <c r="B48" s="515" t="s">
        <v>174</v>
      </c>
      <c r="C48" s="509"/>
      <c r="D48" s="509"/>
      <c r="E48" s="509"/>
      <c r="F48" s="510">
        <f t="shared" si="3"/>
        <v>0</v>
      </c>
      <c r="G48" s="554">
        <f t="shared" si="4"/>
        <v>83.994</v>
      </c>
      <c r="H48" s="511">
        <f>G48*(1-'Dealer Inputs'!$D$22)*(1-'Dealer Inputs'!$H$22)*(1-'Dealer Inputs'!$L$22)</f>
        <v>62.9955</v>
      </c>
      <c r="I48" s="517">
        <v>139.99</v>
      </c>
      <c r="J48" s="511"/>
      <c r="K48" s="511"/>
      <c r="L48" s="511"/>
      <c r="M48" s="511"/>
      <c r="N48" s="511"/>
      <c r="O48" s="511"/>
      <c r="P48" s="513">
        <f t="shared" si="5"/>
        <v>0</v>
      </c>
    </row>
    <row r="49" spans="1:16" ht="12.75" customHeight="1">
      <c r="A49" s="507">
        <v>2128154</v>
      </c>
      <c r="B49" s="515" t="s">
        <v>175</v>
      </c>
      <c r="C49" s="509"/>
      <c r="D49" s="509"/>
      <c r="E49" s="509"/>
      <c r="F49" s="510">
        <f t="shared" si="3"/>
        <v>0</v>
      </c>
      <c r="G49" s="554">
        <f t="shared" si="4"/>
        <v>89.994</v>
      </c>
      <c r="H49" s="511">
        <f>G49*(1-'Dealer Inputs'!$D$22)*(1-'Dealer Inputs'!$H$22)*(1-'Dealer Inputs'!$L$22)</f>
        <v>67.49549999999999</v>
      </c>
      <c r="I49" s="517">
        <v>149.99</v>
      </c>
      <c r="J49" s="511"/>
      <c r="K49" s="511"/>
      <c r="L49" s="511"/>
      <c r="M49" s="511"/>
      <c r="N49" s="511"/>
      <c r="O49" s="511"/>
      <c r="P49" s="513">
        <f t="shared" si="5"/>
        <v>0</v>
      </c>
    </row>
    <row r="50" spans="1:16" ht="18.75" customHeight="1">
      <c r="A50" s="723" t="s">
        <v>445</v>
      </c>
      <c r="B50" s="723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</row>
    <row r="51" spans="1:16" ht="10.5">
      <c r="A51" s="520">
        <v>2128143</v>
      </c>
      <c r="B51" s="515" t="s">
        <v>502</v>
      </c>
      <c r="C51" s="509"/>
      <c r="D51" s="509"/>
      <c r="E51" s="509"/>
      <c r="F51" s="510">
        <f>SUM(C51:E51)</f>
        <v>0</v>
      </c>
      <c r="G51" s="554">
        <f>SUM(I51*0.5)</f>
        <v>49.995</v>
      </c>
      <c r="H51" s="511">
        <f>G51*(1-'Dealer Inputs'!$D$22)*(1-'Dealer Inputs'!$H$22)*(1-'Dealer Inputs'!$L$22)</f>
        <v>37.496249999999996</v>
      </c>
      <c r="I51" s="517">
        <v>99.99</v>
      </c>
      <c r="J51" s="511"/>
      <c r="K51" s="511"/>
      <c r="L51" s="511"/>
      <c r="M51" s="511"/>
      <c r="N51" s="511"/>
      <c r="O51" s="511"/>
      <c r="P51" s="513">
        <f>H51*F51</f>
        <v>0</v>
      </c>
    </row>
    <row r="52" spans="1:16" ht="10.5">
      <c r="A52" s="520">
        <v>2128144</v>
      </c>
      <c r="B52" s="515" t="s">
        <v>503</v>
      </c>
      <c r="C52" s="509"/>
      <c r="D52" s="509"/>
      <c r="E52" s="509"/>
      <c r="F52" s="510">
        <f aca="true" t="shared" si="6" ref="F52:F62">SUM(C52:E52)</f>
        <v>0</v>
      </c>
      <c r="G52" s="554">
        <f>SUM(I52*0.5)</f>
        <v>54.995</v>
      </c>
      <c r="H52" s="511">
        <f>G52*(1-'Dealer Inputs'!$D$22)*(1-'Dealer Inputs'!$H$22)*(1-'Dealer Inputs'!$L$22)</f>
        <v>41.246249999999996</v>
      </c>
      <c r="I52" s="517">
        <v>109.99</v>
      </c>
      <c r="J52" s="511"/>
      <c r="K52" s="511"/>
      <c r="L52" s="511"/>
      <c r="M52" s="511"/>
      <c r="N52" s="511"/>
      <c r="O52" s="511"/>
      <c r="P52" s="513">
        <f aca="true" t="shared" si="7" ref="P52:P62">H52*F52</f>
        <v>0</v>
      </c>
    </row>
    <row r="53" spans="1:16" ht="10.5">
      <c r="A53" s="520">
        <v>2128145</v>
      </c>
      <c r="B53" s="515" t="s">
        <v>504</v>
      </c>
      <c r="C53" s="509"/>
      <c r="D53" s="509"/>
      <c r="E53" s="509"/>
      <c r="F53" s="510">
        <f t="shared" si="6"/>
        <v>0</v>
      </c>
      <c r="G53" s="554">
        <f>SUM(I53*0.5)</f>
        <v>59.995</v>
      </c>
      <c r="H53" s="511">
        <f>G53*(1-'Dealer Inputs'!$D$22)*(1-'Dealer Inputs'!$H$22)*(1-'Dealer Inputs'!$L$22)</f>
        <v>44.996249999999996</v>
      </c>
      <c r="I53" s="517">
        <v>119.99</v>
      </c>
      <c r="J53" s="511"/>
      <c r="K53" s="511"/>
      <c r="L53" s="511"/>
      <c r="M53" s="511"/>
      <c r="N53" s="511"/>
      <c r="O53" s="511"/>
      <c r="P53" s="513">
        <f t="shared" si="7"/>
        <v>0</v>
      </c>
    </row>
    <row r="54" spans="1:16" ht="10.5">
      <c r="A54" s="520">
        <v>2128146</v>
      </c>
      <c r="B54" s="515" t="s">
        <v>505</v>
      </c>
      <c r="C54" s="509"/>
      <c r="D54" s="509"/>
      <c r="E54" s="509"/>
      <c r="F54" s="510">
        <f t="shared" si="6"/>
        <v>0</v>
      </c>
      <c r="G54" s="554">
        <f>SUM(I54*0.5)</f>
        <v>64.995</v>
      </c>
      <c r="H54" s="511">
        <f>G54*(1-'Dealer Inputs'!$D$22)*(1-'Dealer Inputs'!$H$22)*(1-'Dealer Inputs'!$L$22)</f>
        <v>48.74625</v>
      </c>
      <c r="I54" s="517">
        <v>129.99</v>
      </c>
      <c r="J54" s="511"/>
      <c r="K54" s="511"/>
      <c r="L54" s="511"/>
      <c r="M54" s="511"/>
      <c r="N54" s="511"/>
      <c r="O54" s="511"/>
      <c r="P54" s="513">
        <f t="shared" si="7"/>
        <v>0</v>
      </c>
    </row>
    <row r="55" spans="1:16" ht="10.5">
      <c r="A55" s="520">
        <v>2128147</v>
      </c>
      <c r="B55" s="515" t="s">
        <v>506</v>
      </c>
      <c r="C55" s="509"/>
      <c r="D55" s="509"/>
      <c r="E55" s="509"/>
      <c r="F55" s="510">
        <f t="shared" si="6"/>
        <v>0</v>
      </c>
      <c r="G55" s="554">
        <f>SUM(I55*0.5)</f>
        <v>69.995</v>
      </c>
      <c r="H55" s="511">
        <f>G55*(1-'Dealer Inputs'!$D$22)*(1-'Dealer Inputs'!$H$22)*(1-'Dealer Inputs'!$L$22)</f>
        <v>52.49625</v>
      </c>
      <c r="I55" s="517">
        <v>139.99</v>
      </c>
      <c r="J55" s="511"/>
      <c r="K55" s="511"/>
      <c r="L55" s="511"/>
      <c r="M55" s="511"/>
      <c r="N55" s="511"/>
      <c r="O55" s="511"/>
      <c r="P55" s="513">
        <f t="shared" si="7"/>
        <v>0</v>
      </c>
    </row>
    <row r="56" spans="1:16" ht="10.5">
      <c r="A56" s="520">
        <v>2128148</v>
      </c>
      <c r="B56" s="515" t="s">
        <v>507</v>
      </c>
      <c r="C56" s="509"/>
      <c r="D56" s="509"/>
      <c r="E56" s="509"/>
      <c r="F56" s="510">
        <f t="shared" si="6"/>
        <v>0</v>
      </c>
      <c r="G56" s="554">
        <f aca="true" t="shared" si="8" ref="G56:G62">SUM(I56*0.5)</f>
        <v>74.995</v>
      </c>
      <c r="H56" s="511">
        <f>G56*(1-'Dealer Inputs'!$D$22)*(1-'Dealer Inputs'!$H$22)*(1-'Dealer Inputs'!$L$22)</f>
        <v>56.24625</v>
      </c>
      <c r="I56" s="517">
        <v>149.99</v>
      </c>
      <c r="J56" s="511"/>
      <c r="K56" s="511"/>
      <c r="L56" s="511"/>
      <c r="M56" s="511"/>
      <c r="N56" s="511"/>
      <c r="O56" s="511"/>
      <c r="P56" s="513">
        <f t="shared" si="7"/>
        <v>0</v>
      </c>
    </row>
    <row r="57" spans="1:16" ht="4.5" customHeight="1">
      <c r="A57" s="514"/>
      <c r="B57" s="515"/>
      <c r="C57" s="509"/>
      <c r="D57" s="509"/>
      <c r="E57" s="509"/>
      <c r="F57" s="510"/>
      <c r="G57" s="554"/>
      <c r="H57" s="511"/>
      <c r="I57" s="507"/>
      <c r="J57" s="511"/>
      <c r="K57" s="511"/>
      <c r="L57" s="511"/>
      <c r="M57" s="511"/>
      <c r="N57" s="511"/>
      <c r="O57" s="511"/>
      <c r="P57" s="513"/>
    </row>
    <row r="58" spans="1:16" ht="10.5">
      <c r="A58" s="520">
        <v>2128149</v>
      </c>
      <c r="B58" s="515" t="s">
        <v>271</v>
      </c>
      <c r="C58" s="509"/>
      <c r="D58" s="509"/>
      <c r="E58" s="509"/>
      <c r="F58" s="510">
        <f t="shared" si="6"/>
        <v>0</v>
      </c>
      <c r="G58" s="554">
        <f t="shared" si="8"/>
        <v>54.995</v>
      </c>
      <c r="H58" s="511">
        <f>G58*(1-'Dealer Inputs'!$D$22)*(1-'Dealer Inputs'!$H$22)*(1-'Dealer Inputs'!$L$22)</f>
        <v>41.246249999999996</v>
      </c>
      <c r="I58" s="517">
        <v>109.99</v>
      </c>
      <c r="J58" s="511"/>
      <c r="K58" s="511"/>
      <c r="L58" s="511"/>
      <c r="M58" s="511"/>
      <c r="N58" s="511"/>
      <c r="O58" s="511"/>
      <c r="P58" s="513">
        <f t="shared" si="7"/>
        <v>0</v>
      </c>
    </row>
    <row r="59" spans="1:16" ht="10.5">
      <c r="A59" s="520">
        <v>2128150</v>
      </c>
      <c r="B59" s="515" t="s">
        <v>272</v>
      </c>
      <c r="C59" s="509"/>
      <c r="D59" s="509"/>
      <c r="E59" s="509"/>
      <c r="F59" s="510">
        <f t="shared" si="6"/>
        <v>0</v>
      </c>
      <c r="G59" s="554">
        <f t="shared" si="8"/>
        <v>59.995</v>
      </c>
      <c r="H59" s="511">
        <f>G59*(1-'Dealer Inputs'!$D$22)*(1-'Dealer Inputs'!$H$22)*(1-'Dealer Inputs'!$L$22)</f>
        <v>44.996249999999996</v>
      </c>
      <c r="I59" s="517">
        <v>119.99</v>
      </c>
      <c r="J59" s="511"/>
      <c r="K59" s="511"/>
      <c r="L59" s="511"/>
      <c r="M59" s="511"/>
      <c r="N59" s="511"/>
      <c r="O59" s="511"/>
      <c r="P59" s="513">
        <f t="shared" si="7"/>
        <v>0</v>
      </c>
    </row>
    <row r="60" spans="1:16" ht="10.5">
      <c r="A60" s="520">
        <v>2128151</v>
      </c>
      <c r="B60" s="515" t="s">
        <v>273</v>
      </c>
      <c r="C60" s="509"/>
      <c r="D60" s="509"/>
      <c r="E60" s="509"/>
      <c r="F60" s="510">
        <f t="shared" si="6"/>
        <v>0</v>
      </c>
      <c r="G60" s="554">
        <f t="shared" si="8"/>
        <v>64.995</v>
      </c>
      <c r="H60" s="511">
        <f>G60*(1-'Dealer Inputs'!$D$22)*(1-'Dealer Inputs'!$H$22)*(1-'Dealer Inputs'!$L$22)</f>
        <v>48.74625</v>
      </c>
      <c r="I60" s="517">
        <v>129.99</v>
      </c>
      <c r="J60" s="511"/>
      <c r="K60" s="511"/>
      <c r="L60" s="511"/>
      <c r="M60" s="511"/>
      <c r="N60" s="511"/>
      <c r="O60" s="511"/>
      <c r="P60" s="513">
        <f t="shared" si="7"/>
        <v>0</v>
      </c>
    </row>
    <row r="61" spans="1:16" ht="10.5">
      <c r="A61" s="520">
        <v>2128152</v>
      </c>
      <c r="B61" s="515" t="s">
        <v>274</v>
      </c>
      <c r="C61" s="509"/>
      <c r="D61" s="509"/>
      <c r="E61" s="509"/>
      <c r="F61" s="510">
        <f t="shared" si="6"/>
        <v>0</v>
      </c>
      <c r="G61" s="554">
        <f t="shared" si="8"/>
        <v>69.995</v>
      </c>
      <c r="H61" s="511">
        <f>G61*(1-'Dealer Inputs'!$D$22)*(1-'Dealer Inputs'!$H$22)*(1-'Dealer Inputs'!$L$22)</f>
        <v>52.49625</v>
      </c>
      <c r="I61" s="517">
        <v>139.99</v>
      </c>
      <c r="J61" s="511"/>
      <c r="K61" s="511"/>
      <c r="L61" s="511"/>
      <c r="M61" s="511"/>
      <c r="N61" s="511"/>
      <c r="O61" s="511"/>
      <c r="P61" s="513">
        <f t="shared" si="7"/>
        <v>0</v>
      </c>
    </row>
    <row r="62" spans="1:16" ht="10.5">
      <c r="A62" s="520">
        <v>2128153</v>
      </c>
      <c r="B62" s="515" t="s">
        <v>275</v>
      </c>
      <c r="C62" s="509"/>
      <c r="D62" s="509"/>
      <c r="E62" s="509"/>
      <c r="F62" s="510">
        <f t="shared" si="6"/>
        <v>0</v>
      </c>
      <c r="G62" s="554">
        <f t="shared" si="8"/>
        <v>74.995</v>
      </c>
      <c r="H62" s="511">
        <f>G62*(1-'Dealer Inputs'!$D$22)*(1-'Dealer Inputs'!$H$22)*(1-'Dealer Inputs'!$L$22)</f>
        <v>56.24625</v>
      </c>
      <c r="I62" s="517">
        <v>149.99</v>
      </c>
      <c r="J62" s="511"/>
      <c r="K62" s="511"/>
      <c r="L62" s="511"/>
      <c r="M62" s="511"/>
      <c r="N62" s="511"/>
      <c r="O62" s="511"/>
      <c r="P62" s="513">
        <f t="shared" si="7"/>
        <v>0</v>
      </c>
    </row>
    <row r="63" spans="1:16" ht="10.5">
      <c r="A63" s="721"/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6" ht="7.5" customHeight="1"/>
    <row r="71" ht="7.5" customHeight="1"/>
    <row r="76" ht="6.75" customHeight="1"/>
    <row r="79" ht="7.5" customHeight="1"/>
    <row r="82" ht="6.75" customHeight="1"/>
    <row r="83" ht="13.5" customHeight="1"/>
    <row r="84" ht="13.5" customHeight="1"/>
    <row r="85" ht="7.5" customHeight="1"/>
    <row r="86" ht="18.75" customHeight="1"/>
    <row r="92" ht="7.5" customHeight="1"/>
    <row r="97" ht="8.25" customHeight="1"/>
    <row r="102" ht="7.5" customHeight="1"/>
    <row r="104" ht="12.75" customHeight="1"/>
    <row r="106" ht="8.25" customHeight="1"/>
    <row r="109" ht="7.5" customHeight="1"/>
    <row r="110" ht="12.75" customHeight="1"/>
    <row r="111" ht="12.75" customHeight="1"/>
    <row r="112" ht="12.75" customHeight="1"/>
    <row r="113" ht="9" customHeight="1"/>
    <row r="114" ht="17.25" customHeight="1"/>
    <row r="115" ht="12.75" customHeight="1"/>
    <row r="116" ht="12.75" customHeight="1"/>
    <row r="117" ht="8.25" customHeight="1"/>
    <row r="118" ht="12.75" customHeight="1"/>
    <row r="119" ht="12.75" customHeight="1"/>
    <row r="120" ht="7.5" customHeight="1"/>
    <row r="121" ht="12.75" customHeight="1"/>
    <row r="122" ht="12.75" customHeight="1"/>
    <row r="123" ht="7.5" customHeight="1"/>
    <row r="124" ht="12.75" customHeight="1"/>
    <row r="125" ht="22.5" customHeight="1"/>
    <row r="126" ht="6.75" customHeight="1"/>
    <row r="127" ht="12.75" customHeight="1"/>
    <row r="128" ht="23.25" customHeight="1"/>
    <row r="129" ht="6.75" customHeight="1"/>
    <row r="130" ht="12.75" customHeight="1"/>
    <row r="131" ht="33.75" customHeight="1"/>
    <row r="132" ht="6.75" customHeight="1"/>
    <row r="136" ht="7.5" customHeight="1"/>
    <row r="138" ht="12" customHeight="1"/>
    <row r="139" ht="12" customHeight="1"/>
  </sheetData>
  <sheetProtection/>
  <mergeCells count="6">
    <mergeCell ref="A63:P63"/>
    <mergeCell ref="A2:P2"/>
    <mergeCell ref="A9:P9"/>
    <mergeCell ref="A30:P30"/>
    <mergeCell ref="A50:P50"/>
    <mergeCell ref="A26:P26"/>
  </mergeCells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75" zoomScaleNormal="75" zoomScalePageLayoutView="0" workbookViewId="0" topLeftCell="A23">
      <selection activeCell="J42" sqref="J42:L42"/>
    </sheetView>
  </sheetViews>
  <sheetFormatPr defaultColWidth="8.8515625" defaultRowHeight="15" customHeight="1"/>
  <cols>
    <col min="1" max="1" width="0.9921875" style="12" customWidth="1"/>
    <col min="2" max="2" width="11.8515625" style="12" customWidth="1"/>
    <col min="3" max="3" width="7.7109375" style="12" customWidth="1"/>
    <col min="4" max="4" width="11.140625" style="12" customWidth="1"/>
    <col min="5" max="5" width="6.00390625" style="12" customWidth="1"/>
    <col min="6" max="6" width="11.8515625" style="12" customWidth="1"/>
    <col min="7" max="7" width="12.00390625" style="12" customWidth="1"/>
    <col min="8" max="8" width="12.28125" style="12" customWidth="1"/>
    <col min="9" max="9" width="6.7109375" style="12" customWidth="1"/>
    <col min="10" max="12" width="20.7109375" style="12" bestFit="1" customWidth="1"/>
    <col min="13" max="13" width="6.00390625" style="12" customWidth="1"/>
    <col min="14" max="16" width="20.7109375" style="12" bestFit="1" customWidth="1"/>
    <col min="17" max="17" width="4.421875" style="12" customWidth="1"/>
    <col min="18" max="16384" width="8.8515625" style="12" customWidth="1"/>
  </cols>
  <sheetData>
    <row r="1" spans="1:21" ht="15" customHeight="1">
      <c r="A1" s="67"/>
      <c r="B1" s="469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  <c r="O1" s="471"/>
      <c r="P1" s="470"/>
      <c r="Q1" s="472"/>
      <c r="R1" s="405"/>
      <c r="S1" s="405"/>
      <c r="T1" s="405"/>
      <c r="U1" s="405"/>
    </row>
    <row r="2" spans="1:21" ht="15" customHeight="1">
      <c r="A2" s="67"/>
      <c r="B2" s="47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7"/>
      <c r="Q2" s="474"/>
      <c r="R2" s="405"/>
      <c r="S2" s="405"/>
      <c r="T2" s="405"/>
      <c r="U2" s="405"/>
    </row>
    <row r="3" spans="1:21" ht="15" customHeight="1">
      <c r="A3" s="67"/>
      <c r="B3" s="47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67"/>
      <c r="Q3" s="474"/>
      <c r="R3" s="405"/>
      <c r="S3" s="405"/>
      <c r="T3" s="405"/>
      <c r="U3" s="405"/>
    </row>
    <row r="4" spans="1:21" ht="15" customHeight="1">
      <c r="A4" s="67"/>
      <c r="B4" s="473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7"/>
      <c r="Q4" s="474"/>
      <c r="R4" s="405"/>
      <c r="S4" s="405"/>
      <c r="T4" s="405"/>
      <c r="U4" s="405"/>
    </row>
    <row r="5" spans="1:21" ht="15" customHeight="1">
      <c r="A5" s="67"/>
      <c r="B5" s="473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68"/>
      <c r="P5" s="67"/>
      <c r="Q5" s="474"/>
      <c r="R5" s="405"/>
      <c r="S5" s="405"/>
      <c r="T5" s="405"/>
      <c r="U5" s="405"/>
    </row>
    <row r="6" spans="1:21" ht="27.75" customHeight="1">
      <c r="A6" s="67"/>
      <c r="B6" s="631" t="s">
        <v>282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3"/>
      <c r="R6" s="406"/>
      <c r="S6" s="405"/>
      <c r="T6" s="405"/>
      <c r="U6" s="405"/>
    </row>
    <row r="7" spans="1:21" ht="27.75" customHeight="1" thickBot="1">
      <c r="A7" s="67"/>
      <c r="B7" s="475"/>
      <c r="C7" s="640" t="s">
        <v>491</v>
      </c>
      <c r="D7" s="640"/>
      <c r="E7" s="640"/>
      <c r="F7" s="640"/>
      <c r="G7" s="640"/>
      <c r="H7" s="640"/>
      <c r="I7" s="167"/>
      <c r="J7" s="167" t="s">
        <v>65</v>
      </c>
      <c r="K7" s="476"/>
      <c r="L7" s="640" t="s">
        <v>497</v>
      </c>
      <c r="M7" s="640"/>
      <c r="N7" s="640"/>
      <c r="O7" s="640"/>
      <c r="P7" s="640"/>
      <c r="Q7" s="477"/>
      <c r="R7" s="405"/>
      <c r="S7" s="405"/>
      <c r="T7" s="405"/>
      <c r="U7" s="405"/>
    </row>
    <row r="8" spans="1:21" ht="30" customHeight="1" thickBot="1">
      <c r="A8" s="67"/>
      <c r="B8" s="478"/>
      <c r="C8" s="634">
        <f>'Dealer Inputs'!C8:G8</f>
        <v>0</v>
      </c>
      <c r="D8" s="635"/>
      <c r="E8" s="635"/>
      <c r="F8" s="635"/>
      <c r="G8" s="635"/>
      <c r="H8" s="636"/>
      <c r="I8" s="70"/>
      <c r="J8" s="240"/>
      <c r="K8" s="69"/>
      <c r="L8" s="637">
        <f>'Dealer Inputs'!J8</f>
        <v>0</v>
      </c>
      <c r="M8" s="638"/>
      <c r="N8" s="638"/>
      <c r="O8" s="638"/>
      <c r="P8" s="639"/>
      <c r="Q8" s="479"/>
      <c r="R8" s="405"/>
      <c r="S8" s="405"/>
      <c r="T8" s="405"/>
      <c r="U8" s="405"/>
    </row>
    <row r="9" spans="1:21" ht="18.75" customHeight="1">
      <c r="A9" s="67"/>
      <c r="B9" s="478"/>
      <c r="C9" s="71"/>
      <c r="D9" s="71"/>
      <c r="E9" s="71"/>
      <c r="F9" s="71"/>
      <c r="G9" s="71"/>
      <c r="H9" s="71"/>
      <c r="I9" s="70"/>
      <c r="J9" s="72"/>
      <c r="K9" s="72"/>
      <c r="L9" s="71"/>
      <c r="M9" s="71"/>
      <c r="N9" s="71"/>
      <c r="O9" s="71"/>
      <c r="P9" s="71"/>
      <c r="Q9" s="480"/>
      <c r="R9" s="405"/>
      <c r="S9" s="405"/>
      <c r="T9" s="405"/>
      <c r="U9" s="405"/>
    </row>
    <row r="10" spans="1:21" s="13" customFormat="1" ht="31.5" customHeight="1">
      <c r="A10" s="67"/>
      <c r="B10" s="481"/>
      <c r="C10" s="71"/>
      <c r="D10" s="73" t="s">
        <v>478</v>
      </c>
      <c r="E10" s="71"/>
      <c r="F10" s="654" t="s">
        <v>349</v>
      </c>
      <c r="G10" s="654"/>
      <c r="H10" s="654"/>
      <c r="I10" s="70"/>
      <c r="J10" s="654" t="s">
        <v>350</v>
      </c>
      <c r="K10" s="654"/>
      <c r="L10" s="654"/>
      <c r="M10" s="71"/>
      <c r="N10" s="654" t="s">
        <v>351</v>
      </c>
      <c r="O10" s="654"/>
      <c r="P10" s="654"/>
      <c r="Q10" s="480"/>
      <c r="R10" s="407"/>
      <c r="S10" s="408"/>
      <c r="T10" s="408"/>
      <c r="U10" s="408"/>
    </row>
    <row r="11" spans="1:21" s="13" customFormat="1" ht="35.25" customHeight="1">
      <c r="A11" s="67"/>
      <c r="B11" s="481"/>
      <c r="C11" s="70"/>
      <c r="D11" s="73"/>
      <c r="E11" s="74"/>
      <c r="F11" s="75" t="s">
        <v>342</v>
      </c>
      <c r="G11" s="75" t="s">
        <v>343</v>
      </c>
      <c r="H11" s="76" t="s">
        <v>344</v>
      </c>
      <c r="I11" s="75"/>
      <c r="J11" s="75" t="s">
        <v>342</v>
      </c>
      <c r="K11" s="75" t="s">
        <v>343</v>
      </c>
      <c r="L11" s="76" t="s">
        <v>344</v>
      </c>
      <c r="M11" s="75"/>
      <c r="N11" s="75" t="s">
        <v>342</v>
      </c>
      <c r="O11" s="75" t="s">
        <v>343</v>
      </c>
      <c r="P11" s="76" t="s">
        <v>344</v>
      </c>
      <c r="Q11" s="480"/>
      <c r="R11" s="407"/>
      <c r="S11" s="408"/>
      <c r="T11" s="408"/>
      <c r="U11" s="408"/>
    </row>
    <row r="12" spans="1:21" s="16" customFormat="1" ht="30" customHeight="1">
      <c r="A12" s="77"/>
      <c r="B12" s="481"/>
      <c r="C12" s="70"/>
      <c r="D12" s="81" t="s">
        <v>385</v>
      </c>
      <c r="E12" s="80"/>
      <c r="F12" s="110">
        <f>SUM('Kites-Bars'!C4:C34)</f>
        <v>0</v>
      </c>
      <c r="G12" s="110">
        <f>SUM('Kites-Bars'!D4:D34)</f>
        <v>0</v>
      </c>
      <c r="H12" s="110">
        <f>SUM('Kites-Bars'!E4:E34)</f>
        <v>0</v>
      </c>
      <c r="I12" s="80"/>
      <c r="J12" s="130">
        <f>SUM('Kites-Bars'!J4:J34)</f>
        <v>0</v>
      </c>
      <c r="K12" s="130">
        <f>SUM('Kites-Bars'!K4:K34)</f>
        <v>0</v>
      </c>
      <c r="L12" s="130">
        <f>SUM('Kites-Bars'!L4:L34)</f>
        <v>0</v>
      </c>
      <c r="M12" s="131"/>
      <c r="N12" s="130">
        <f>SUM('Kites-Bars'!M4:M34)</f>
        <v>0</v>
      </c>
      <c r="O12" s="130">
        <f>SUM('Kites-Bars'!N4:N34)</f>
        <v>0</v>
      </c>
      <c r="P12" s="130">
        <f>SUM('Kites-Bars'!O4:O34)</f>
        <v>0</v>
      </c>
      <c r="Q12" s="480"/>
      <c r="R12" s="409"/>
      <c r="S12" s="410"/>
      <c r="T12" s="410"/>
      <c r="U12" s="410"/>
    </row>
    <row r="13" spans="1:21" s="16" customFormat="1" ht="13.5" customHeight="1">
      <c r="A13" s="77"/>
      <c r="B13" s="481"/>
      <c r="C13" s="82"/>
      <c r="D13" s="482"/>
      <c r="E13" s="78"/>
      <c r="F13" s="83"/>
      <c r="G13" s="83"/>
      <c r="H13" s="83"/>
      <c r="I13" s="80"/>
      <c r="J13" s="131"/>
      <c r="K13" s="131"/>
      <c r="L13" s="131"/>
      <c r="M13" s="131"/>
      <c r="N13" s="131"/>
      <c r="O13" s="131"/>
      <c r="P13" s="131"/>
      <c r="Q13" s="480"/>
      <c r="R13" s="409"/>
      <c r="S13" s="410"/>
      <c r="T13" s="410"/>
      <c r="U13" s="410"/>
    </row>
    <row r="14" spans="1:21" s="16" customFormat="1" ht="30" customHeight="1">
      <c r="A14" s="77"/>
      <c r="B14" s="483"/>
      <c r="C14" s="84"/>
      <c r="D14" s="81" t="s">
        <v>428</v>
      </c>
      <c r="E14" s="80"/>
      <c r="F14" s="110">
        <f>SUM(Kiteboards!C4:C34)</f>
        <v>0</v>
      </c>
      <c r="G14" s="110">
        <f>SUM(Kiteboards!D4:D34)</f>
        <v>0</v>
      </c>
      <c r="H14" s="110">
        <f>SUM(Kiteboards!E4:E34)</f>
        <v>0</v>
      </c>
      <c r="I14" s="80"/>
      <c r="J14" s="130">
        <f>SUM(Kiteboards!J4:J34)</f>
        <v>0</v>
      </c>
      <c r="K14" s="130">
        <f>SUM(Kiteboards!K4:K34)</f>
        <v>0</v>
      </c>
      <c r="L14" s="130">
        <f>SUM(Kiteboards!L4:L34)</f>
        <v>0</v>
      </c>
      <c r="M14" s="132"/>
      <c r="N14" s="130">
        <f>SUM(Kiteboards!M4:M34)</f>
        <v>0</v>
      </c>
      <c r="O14" s="130">
        <f>SUM(Kiteboards!N4:N34)</f>
        <v>0</v>
      </c>
      <c r="P14" s="130">
        <f>SUM(Kiteboards!O4:O34)</f>
        <v>0</v>
      </c>
      <c r="Q14" s="480"/>
      <c r="R14" s="409"/>
      <c r="S14" s="409"/>
      <c r="T14" s="410"/>
      <c r="U14" s="410"/>
    </row>
    <row r="15" spans="1:21" s="16" customFormat="1" ht="15" customHeight="1">
      <c r="A15" s="77"/>
      <c r="B15" s="483"/>
      <c r="C15" s="84"/>
      <c r="D15" s="81"/>
      <c r="E15" s="80"/>
      <c r="F15" s="83"/>
      <c r="G15" s="83"/>
      <c r="H15" s="83"/>
      <c r="I15" s="80"/>
      <c r="J15" s="131"/>
      <c r="K15" s="131"/>
      <c r="L15" s="131"/>
      <c r="M15" s="131"/>
      <c r="N15" s="131"/>
      <c r="O15" s="131"/>
      <c r="P15" s="131"/>
      <c r="Q15" s="480"/>
      <c r="R15" s="409"/>
      <c r="S15" s="409"/>
      <c r="T15" s="410"/>
      <c r="U15" s="410"/>
    </row>
    <row r="16" spans="1:21" s="16" customFormat="1" ht="30.75" customHeight="1">
      <c r="A16" s="77"/>
      <c r="B16" s="483"/>
      <c r="C16" s="85"/>
      <c r="D16" s="81" t="s">
        <v>433</v>
      </c>
      <c r="E16" s="86"/>
      <c r="F16" s="111">
        <f>SUM('Pads-Straps-Bindings'!C3:C32)</f>
        <v>0</v>
      </c>
      <c r="G16" s="111">
        <f>SUM('Pads-Straps-Bindings'!D3:D32)</f>
        <v>0</v>
      </c>
      <c r="H16" s="111">
        <f>SUM('Pads-Straps-Bindings'!E3:E32)</f>
        <v>0</v>
      </c>
      <c r="I16" s="87"/>
      <c r="J16" s="133">
        <f>SUM('Pads-Straps-Bindings'!J3:J33)</f>
        <v>0</v>
      </c>
      <c r="K16" s="133">
        <f>SUM('Pads-Straps-Bindings'!K3:K33)</f>
        <v>0</v>
      </c>
      <c r="L16" s="133">
        <f>SUM('Pads-Straps-Bindings'!L3:L33)</f>
        <v>0</v>
      </c>
      <c r="M16" s="132"/>
      <c r="N16" s="130">
        <f>SUM('Pads-Straps-Bindings'!M3:M33)</f>
        <v>0</v>
      </c>
      <c r="O16" s="130">
        <f>SUM('Pads-Straps-Bindings'!N3:N33)</f>
        <v>0</v>
      </c>
      <c r="P16" s="130">
        <f>SUM('Pads-Straps-Bindings'!O3:O33)</f>
        <v>0</v>
      </c>
      <c r="Q16" s="480"/>
      <c r="R16" s="409"/>
      <c r="S16" s="409"/>
      <c r="T16" s="410"/>
      <c r="U16" s="410"/>
    </row>
    <row r="17" spans="1:21" s="16" customFormat="1" ht="15" customHeight="1">
      <c r="A17" s="77"/>
      <c r="B17" s="484"/>
      <c r="C17" s="82"/>
      <c r="D17" s="482"/>
      <c r="E17" s="80"/>
      <c r="F17" s="83"/>
      <c r="G17" s="83"/>
      <c r="H17" s="83"/>
      <c r="I17" s="80"/>
      <c r="J17" s="131"/>
      <c r="K17" s="131"/>
      <c r="L17" s="131"/>
      <c r="M17" s="131"/>
      <c r="N17" s="131"/>
      <c r="O17" s="131"/>
      <c r="P17" s="131"/>
      <c r="Q17" s="480"/>
      <c r="R17" s="409"/>
      <c r="S17" s="409"/>
      <c r="T17" s="410"/>
      <c r="U17" s="410"/>
    </row>
    <row r="18" spans="1:21" s="16" customFormat="1" ht="29.25" customHeight="1">
      <c r="A18" s="77"/>
      <c r="B18" s="485"/>
      <c r="C18" s="85"/>
      <c r="D18" s="81" t="s">
        <v>434</v>
      </c>
      <c r="E18" s="86"/>
      <c r="F18" s="111">
        <f>SUM(Harnesses!C4:C32)</f>
        <v>0</v>
      </c>
      <c r="G18" s="111">
        <f>SUM(Harnesses!D4:D32)</f>
        <v>0</v>
      </c>
      <c r="H18" s="111">
        <f>SUM(Harnesses!E4:E32)</f>
        <v>0</v>
      </c>
      <c r="I18" s="87"/>
      <c r="J18" s="133">
        <f>SUM(Harnesses!J4:J32)</f>
        <v>0</v>
      </c>
      <c r="K18" s="133">
        <f>SUM(Harnesses!K4:K32)</f>
        <v>0</v>
      </c>
      <c r="L18" s="133">
        <f>SUM(Harnesses!L4:L32)</f>
        <v>0</v>
      </c>
      <c r="M18" s="132"/>
      <c r="N18" s="130">
        <f>SUM(Harnesses!M4:M32)</f>
        <v>0</v>
      </c>
      <c r="O18" s="130">
        <f>SUM(Harnesses!N4:N32)</f>
        <v>0</v>
      </c>
      <c r="P18" s="130">
        <f>SUM(Harnesses!O4:O32)</f>
        <v>0</v>
      </c>
      <c r="Q18" s="480"/>
      <c r="R18" s="409"/>
      <c r="S18" s="409"/>
      <c r="T18" s="410"/>
      <c r="U18" s="410"/>
    </row>
    <row r="19" spans="1:21" s="16" customFormat="1" ht="15" customHeight="1">
      <c r="A19" s="77"/>
      <c r="B19" s="485"/>
      <c r="C19" s="85"/>
      <c r="D19" s="81"/>
      <c r="E19" s="86"/>
      <c r="F19" s="88"/>
      <c r="G19" s="88"/>
      <c r="H19" s="88"/>
      <c r="I19" s="87"/>
      <c r="J19" s="132"/>
      <c r="K19" s="132"/>
      <c r="L19" s="132"/>
      <c r="M19" s="132"/>
      <c r="N19" s="131"/>
      <c r="O19" s="131"/>
      <c r="P19" s="131"/>
      <c r="Q19" s="480"/>
      <c r="R19" s="409"/>
      <c r="S19" s="409"/>
      <c r="T19" s="410"/>
      <c r="U19" s="410"/>
    </row>
    <row r="20" spans="1:21" s="16" customFormat="1" ht="29.25" customHeight="1">
      <c r="A20" s="77"/>
      <c r="B20" s="485"/>
      <c r="C20" s="85"/>
      <c r="D20" s="81" t="s">
        <v>432</v>
      </c>
      <c r="E20" s="86"/>
      <c r="F20" s="111">
        <f>'ENVY-Packages'!C9</f>
        <v>0</v>
      </c>
      <c r="G20" s="111">
        <f>'ENVY-Packages'!D9</f>
        <v>0</v>
      </c>
      <c r="H20" s="111">
        <f>'ENVY-Packages'!E9</f>
        <v>0</v>
      </c>
      <c r="I20" s="87"/>
      <c r="J20" s="133">
        <f>SUM('ENVY-Packages'!C4*'ENVY-Packages'!G4)+('ENVY-Packages'!C5*'ENVY-Packages'!G5)+('ENVY-Packages'!C6*'ENVY-Packages'!G6)+('ENVY-Packages'!C7*'ENVY-Packages'!G7)+('ENVY-Packages'!C8*'ENVY-Packages'!G8)</f>
        <v>0</v>
      </c>
      <c r="K20" s="133">
        <f>SUM('ENVY-Packages'!D4*'ENVY-Packages'!G4)+('ENVY-Packages'!D5*'ENVY-Packages'!G5)+('ENVY-Packages'!D6*'ENVY-Packages'!G6)+('ENVY-Packages'!D7*'ENVY-Packages'!G7)+('ENVY-Packages'!D8*'ENVY-Packages'!G8)</f>
        <v>0</v>
      </c>
      <c r="L20" s="133">
        <f>SUM('ENVY-Packages'!E4*'ENVY-Packages'!G4)+('ENVY-Packages'!E5*'ENVY-Packages'!G5)+('ENVY-Packages'!E6*'ENVY-Packages'!G6)+('ENVY-Packages'!E7*'ENVY-Packages'!G7)+('ENVY-Packages'!E8*'ENVY-Packages'!G8)</f>
        <v>0</v>
      </c>
      <c r="M20" s="132"/>
      <c r="N20" s="130">
        <f>'ENVY-Packages'!C10</f>
        <v>0</v>
      </c>
      <c r="O20" s="130">
        <f>'ENVY-Packages'!D10</f>
        <v>0</v>
      </c>
      <c r="P20" s="130">
        <f>'ENVY-Packages'!E10</f>
        <v>0</v>
      </c>
      <c r="Q20" s="480"/>
      <c r="R20" s="409"/>
      <c r="S20" s="409"/>
      <c r="T20" s="410"/>
      <c r="U20" s="410"/>
    </row>
    <row r="21" spans="1:21" s="16" customFormat="1" ht="15" customHeight="1">
      <c r="A21" s="77"/>
      <c r="B21" s="481"/>
      <c r="C21" s="70"/>
      <c r="D21" s="78"/>
      <c r="E21" s="79"/>
      <c r="F21" s="80"/>
      <c r="G21" s="80"/>
      <c r="H21" s="80"/>
      <c r="I21" s="80"/>
      <c r="J21" s="131"/>
      <c r="K21" s="131"/>
      <c r="L21" s="131"/>
      <c r="M21" s="131"/>
      <c r="N21" s="131"/>
      <c r="O21" s="131"/>
      <c r="P21" s="131"/>
      <c r="Q21" s="480"/>
      <c r="R21" s="409"/>
      <c r="S21" s="409"/>
      <c r="T21" s="410"/>
      <c r="U21" s="410"/>
    </row>
    <row r="22" spans="1:21" s="17" customFormat="1" ht="28.5" customHeight="1">
      <c r="A22" s="77"/>
      <c r="B22" s="481"/>
      <c r="C22" s="70"/>
      <c r="D22" s="81" t="s">
        <v>435</v>
      </c>
      <c r="E22" s="80"/>
      <c r="F22" s="110">
        <f>SUM(VESTS!C4:C16)</f>
        <v>0</v>
      </c>
      <c r="G22" s="110">
        <f>SUM(VESTS!D4:D16)</f>
        <v>0</v>
      </c>
      <c r="H22" s="110">
        <f>SUM(VESTS!E4:E16)</f>
        <v>0</v>
      </c>
      <c r="I22" s="80"/>
      <c r="J22" s="130">
        <f>SUM(VESTS!J4:J16)</f>
        <v>0</v>
      </c>
      <c r="K22" s="130">
        <f>SUM(VESTS!K4:K16)</f>
        <v>0</v>
      </c>
      <c r="L22" s="130">
        <f>SUM(VESTS!L4:L16)</f>
        <v>0</v>
      </c>
      <c r="M22" s="131"/>
      <c r="N22" s="130">
        <f>SUM(VESTS!M4:M16)</f>
        <v>0</v>
      </c>
      <c r="O22" s="130">
        <f>SUM(VESTS!N4:N16)</f>
        <v>0</v>
      </c>
      <c r="P22" s="130">
        <f>SUM(VESTS!O4:O16)</f>
        <v>0</v>
      </c>
      <c r="Q22" s="486"/>
      <c r="R22" s="411"/>
      <c r="S22" s="411"/>
      <c r="T22" s="412"/>
      <c r="U22" s="412"/>
    </row>
    <row r="23" spans="1:21" s="19" customFormat="1" ht="15" customHeight="1">
      <c r="A23" s="77"/>
      <c r="B23" s="483"/>
      <c r="C23" s="84"/>
      <c r="D23" s="81"/>
      <c r="E23" s="80"/>
      <c r="F23" s="83"/>
      <c r="G23" s="83"/>
      <c r="H23" s="83"/>
      <c r="I23" s="80"/>
      <c r="J23" s="131"/>
      <c r="K23" s="131"/>
      <c r="L23" s="131"/>
      <c r="M23" s="131"/>
      <c r="N23" s="131"/>
      <c r="O23" s="131"/>
      <c r="P23" s="131"/>
      <c r="Q23" s="480"/>
      <c r="R23" s="413"/>
      <c r="S23" s="413"/>
      <c r="T23" s="413"/>
      <c r="U23" s="413"/>
    </row>
    <row r="24" spans="1:21" s="18" customFormat="1" ht="30" customHeight="1">
      <c r="A24" s="77"/>
      <c r="B24" s="487"/>
      <c r="C24" s="91"/>
      <c r="D24" s="92" t="s">
        <v>437</v>
      </c>
      <c r="E24" s="93"/>
      <c r="F24" s="112">
        <f>SUM(Helmets!C3:C36)</f>
        <v>0</v>
      </c>
      <c r="G24" s="112">
        <f>SUM(Helmets!D3:D36)</f>
        <v>0</v>
      </c>
      <c r="H24" s="112">
        <f>SUM(Helmets!E3:E36)</f>
        <v>0</v>
      </c>
      <c r="I24" s="94"/>
      <c r="J24" s="134">
        <f>SUM(Helmets!J3:J36)</f>
        <v>0</v>
      </c>
      <c r="K24" s="134">
        <f>SUM(Helmets!K3:K36)</f>
        <v>0</v>
      </c>
      <c r="L24" s="134">
        <f>SUM(Helmets!L3:L36)</f>
        <v>0</v>
      </c>
      <c r="M24" s="135"/>
      <c r="N24" s="130">
        <f>SUM(Helmets!M3:M36)</f>
        <v>0</v>
      </c>
      <c r="O24" s="130">
        <f>SUM(Helmets!N3:N36)</f>
        <v>0</v>
      </c>
      <c r="P24" s="130">
        <f>SUM(Helmets!O3:O36)</f>
        <v>0</v>
      </c>
      <c r="Q24" s="488"/>
      <c r="R24" s="414"/>
      <c r="S24" s="414"/>
      <c r="T24" s="414"/>
      <c r="U24" s="414"/>
    </row>
    <row r="25" spans="1:21" s="18" customFormat="1" ht="15" customHeight="1">
      <c r="A25" s="77"/>
      <c r="B25" s="483"/>
      <c r="C25" s="84"/>
      <c r="D25" s="81"/>
      <c r="E25" s="80"/>
      <c r="F25" s="83"/>
      <c r="G25" s="83"/>
      <c r="H25" s="83"/>
      <c r="I25" s="80"/>
      <c r="J25" s="131"/>
      <c r="K25" s="131"/>
      <c r="L25" s="131"/>
      <c r="M25" s="131"/>
      <c r="N25" s="131"/>
      <c r="O25" s="131"/>
      <c r="P25" s="131"/>
      <c r="Q25" s="480"/>
      <c r="R25" s="414"/>
      <c r="S25" s="414"/>
      <c r="T25" s="414"/>
      <c r="U25" s="414"/>
    </row>
    <row r="26" spans="1:21" s="18" customFormat="1" ht="30" customHeight="1">
      <c r="A26" s="77"/>
      <c r="B26" s="483"/>
      <c r="C26" s="85"/>
      <c r="D26" s="81" t="s">
        <v>438</v>
      </c>
      <c r="E26" s="86"/>
      <c r="F26" s="111">
        <f>SUM(Bags!C8:C32)</f>
        <v>0</v>
      </c>
      <c r="G26" s="111">
        <f>SUM(Bags!D8:D32)</f>
        <v>0</v>
      </c>
      <c r="H26" s="111">
        <f>SUM(Bags!E8:E32)</f>
        <v>0</v>
      </c>
      <c r="I26" s="87"/>
      <c r="J26" s="133">
        <f>SUM(Bags!J8:J32)</f>
        <v>0</v>
      </c>
      <c r="K26" s="133">
        <f>SUM(Bags!K8:K32)</f>
        <v>0</v>
      </c>
      <c r="L26" s="133">
        <f>SUM(Bags!L8:L32)</f>
        <v>0</v>
      </c>
      <c r="M26" s="132"/>
      <c r="N26" s="130">
        <f>SUM(Bags!M8:M32)</f>
        <v>0</v>
      </c>
      <c r="O26" s="130">
        <f>SUM(Bags!N8:N32)</f>
        <v>0</v>
      </c>
      <c r="P26" s="130">
        <f>SUM(Bags!O8:O32)</f>
        <v>0</v>
      </c>
      <c r="Q26" s="489"/>
      <c r="R26" s="414"/>
      <c r="S26" s="414"/>
      <c r="T26" s="414"/>
      <c r="U26" s="414"/>
    </row>
    <row r="27" spans="1:21" s="14" customFormat="1" ht="15" customHeight="1">
      <c r="A27" s="77"/>
      <c r="B27" s="484"/>
      <c r="C27" s="82"/>
      <c r="D27" s="482"/>
      <c r="E27" s="80"/>
      <c r="F27" s="83"/>
      <c r="G27" s="83"/>
      <c r="H27" s="83"/>
      <c r="I27" s="80"/>
      <c r="J27" s="131"/>
      <c r="K27" s="131"/>
      <c r="L27" s="131"/>
      <c r="M27" s="131"/>
      <c r="N27" s="131"/>
      <c r="O27" s="131"/>
      <c r="P27" s="131"/>
      <c r="Q27" s="488"/>
      <c r="R27" s="415"/>
      <c r="S27" s="415"/>
      <c r="T27" s="415"/>
      <c r="U27" s="415"/>
    </row>
    <row r="28" spans="1:21" s="18" customFormat="1" ht="30.75" customHeight="1">
      <c r="A28" s="77"/>
      <c r="B28" s="487"/>
      <c r="C28" s="89"/>
      <c r="D28" s="81" t="s">
        <v>462</v>
      </c>
      <c r="E28" s="80"/>
      <c r="F28" s="110">
        <f>SUM('IPA''s, Accessories'!C3:C29)</f>
        <v>0</v>
      </c>
      <c r="G28" s="110">
        <f>SUM('IPA''s, Accessories'!D3:D29)</f>
        <v>0</v>
      </c>
      <c r="H28" s="110">
        <f>SUM('IPA''s, Accessories'!E3:E29)</f>
        <v>0</v>
      </c>
      <c r="I28" s="94"/>
      <c r="J28" s="130">
        <f>SUM('IPA''s, Accessories'!J3:J29)</f>
        <v>0</v>
      </c>
      <c r="K28" s="130">
        <f>SUM('IPA''s, Accessories'!K3:K29)</f>
        <v>0</v>
      </c>
      <c r="L28" s="130">
        <f>SUM('IPA''s, Accessories'!L3:L29)</f>
        <v>0</v>
      </c>
      <c r="M28" s="136"/>
      <c r="N28" s="130">
        <f>SUM('IPA''s, Accessories'!M3:M29)</f>
        <v>0</v>
      </c>
      <c r="O28" s="130">
        <f>SUM('IPA''s, Accessories'!N3:N29)</f>
        <v>0</v>
      </c>
      <c r="P28" s="130">
        <f>SUM('IPA''s, Accessories'!O3:O29)</f>
        <v>0</v>
      </c>
      <c r="Q28" s="490"/>
      <c r="R28" s="414"/>
      <c r="S28" s="414"/>
      <c r="T28" s="414"/>
      <c r="U28" s="414"/>
    </row>
    <row r="29" spans="1:21" s="18" customFormat="1" ht="15" customHeight="1">
      <c r="A29" s="77"/>
      <c r="B29" s="491"/>
      <c r="C29" s="89"/>
      <c r="D29" s="80"/>
      <c r="E29" s="80"/>
      <c r="F29" s="83"/>
      <c r="G29" s="83"/>
      <c r="H29" s="83"/>
      <c r="I29" s="94"/>
      <c r="J29" s="131"/>
      <c r="K29" s="131"/>
      <c r="L29" s="131"/>
      <c r="M29" s="136"/>
      <c r="N29" s="131"/>
      <c r="O29" s="131"/>
      <c r="P29" s="131"/>
      <c r="Q29" s="490"/>
      <c r="R29" s="414"/>
      <c r="S29" s="414"/>
      <c r="T29" s="414"/>
      <c r="U29" s="414"/>
    </row>
    <row r="30" spans="1:21" s="18" customFormat="1" ht="30.75" customHeight="1">
      <c r="A30" s="77"/>
      <c r="B30" s="492"/>
      <c r="C30" s="96"/>
      <c r="D30" s="81" t="s">
        <v>319</v>
      </c>
      <c r="E30" s="80"/>
      <c r="F30" s="110">
        <f>SUM('IPA''s, Accessories'!C32:C43)</f>
        <v>0</v>
      </c>
      <c r="G30" s="110">
        <f>SUM('IPA''s, Accessories'!D32:D43)</f>
        <v>0</v>
      </c>
      <c r="H30" s="110">
        <f>SUM('IPA''s, Accessories'!E32:E43)</f>
        <v>0</v>
      </c>
      <c r="I30" s="94"/>
      <c r="J30" s="130">
        <f>SUM('IPA''s, Accessories'!J32:J43)</f>
        <v>0</v>
      </c>
      <c r="K30" s="130">
        <f>SUM('IPA''s, Accessories'!K32:K43)</f>
        <v>0</v>
      </c>
      <c r="L30" s="130">
        <f>SUM('IPA''s, Accessories'!L32:L43)</f>
        <v>0</v>
      </c>
      <c r="M30" s="136"/>
      <c r="N30" s="130">
        <f>SUM('IPA''s, Accessories'!M32:M43)</f>
        <v>0</v>
      </c>
      <c r="O30" s="130">
        <f>SUM('IPA''s, Accessories'!N32:N43)</f>
        <v>0</v>
      </c>
      <c r="P30" s="130">
        <f>SUM('IPA''s, Accessories'!O32:O43)</f>
        <v>0</v>
      </c>
      <c r="Q30" s="490"/>
      <c r="R30" s="414"/>
      <c r="S30" s="414"/>
      <c r="T30" s="414"/>
      <c r="U30" s="414"/>
    </row>
    <row r="31" spans="1:21" s="18" customFormat="1" ht="15" customHeight="1">
      <c r="A31" s="77"/>
      <c r="B31" s="492"/>
      <c r="C31" s="96"/>
      <c r="D31" s="81"/>
      <c r="E31" s="80"/>
      <c r="F31" s="83"/>
      <c r="G31" s="83"/>
      <c r="H31" s="83"/>
      <c r="I31" s="94"/>
      <c r="J31" s="131"/>
      <c r="K31" s="131"/>
      <c r="L31" s="131"/>
      <c r="M31" s="136"/>
      <c r="N31" s="131"/>
      <c r="O31" s="131"/>
      <c r="P31" s="131"/>
      <c r="Q31" s="490"/>
      <c r="R31" s="414"/>
      <c r="S31" s="414"/>
      <c r="T31" s="414"/>
      <c r="U31" s="414"/>
    </row>
    <row r="32" spans="1:21" s="7" customFormat="1" ht="28.5" customHeight="1">
      <c r="A32" s="77"/>
      <c r="B32" s="492"/>
      <c r="C32" s="96"/>
      <c r="D32" s="81" t="s">
        <v>227</v>
      </c>
      <c r="E32" s="80"/>
      <c r="F32" s="110">
        <f>SUM('POP, Stickers'!C4:C31)</f>
        <v>0</v>
      </c>
      <c r="G32" s="110">
        <f>SUM('POP, Stickers'!D4:D31)</f>
        <v>0</v>
      </c>
      <c r="H32" s="110">
        <f>SUM('POP, Stickers'!E4:E31)</f>
        <v>0</v>
      </c>
      <c r="I32" s="94"/>
      <c r="J32" s="130">
        <f>SUM('POP, Stickers'!J4:J31)</f>
        <v>0</v>
      </c>
      <c r="K32" s="130">
        <f>SUM('POP, Stickers'!K4:K31)</f>
        <v>0</v>
      </c>
      <c r="L32" s="130">
        <f>SUM('POP, Stickers'!L4:L31)</f>
        <v>0</v>
      </c>
      <c r="M32" s="136"/>
      <c r="N32" s="130">
        <f>SUM('POP, Stickers'!M4:M31)</f>
        <v>0</v>
      </c>
      <c r="O32" s="130">
        <f>SUM('POP, Stickers'!N4:N31)</f>
        <v>0</v>
      </c>
      <c r="P32" s="130">
        <f>SUM('POP, Stickers'!O4:O31)</f>
        <v>0</v>
      </c>
      <c r="Q32" s="490"/>
      <c r="R32" s="416"/>
      <c r="S32" s="416"/>
      <c r="T32" s="416"/>
      <c r="U32" s="416"/>
    </row>
    <row r="33" spans="1:21" s="18" customFormat="1" ht="15" customHeight="1">
      <c r="A33" s="77"/>
      <c r="B33" s="492"/>
      <c r="C33" s="96"/>
      <c r="D33" s="81"/>
      <c r="E33" s="80"/>
      <c r="F33" s="183"/>
      <c r="G33" s="183"/>
      <c r="H33" s="183"/>
      <c r="I33" s="181"/>
      <c r="J33" s="184"/>
      <c r="K33" s="184"/>
      <c r="L33" s="184"/>
      <c r="M33" s="182"/>
      <c r="N33" s="184"/>
      <c r="O33" s="184"/>
      <c r="P33" s="184"/>
      <c r="Q33" s="490"/>
      <c r="R33" s="414"/>
      <c r="S33" s="414"/>
      <c r="T33" s="414"/>
      <c r="U33" s="414"/>
    </row>
    <row r="34" spans="1:21" s="18" customFormat="1" ht="28.5" customHeight="1">
      <c r="A34" s="77"/>
      <c r="B34" s="492"/>
      <c r="C34" s="96"/>
      <c r="D34" s="81" t="s">
        <v>446</v>
      </c>
      <c r="E34" s="80"/>
      <c r="F34" s="110">
        <f>SUM('Fins and Parts'!C3:C63)</f>
        <v>0</v>
      </c>
      <c r="G34" s="110">
        <f>SUM('Fins and Parts'!D3:D63)</f>
        <v>0</v>
      </c>
      <c r="H34" s="110">
        <f>SUM('Fins and Parts'!E3:E63)</f>
        <v>0</v>
      </c>
      <c r="I34" s="94"/>
      <c r="J34" s="130">
        <f>SUM('Fins and Parts'!J3:J63)</f>
        <v>0</v>
      </c>
      <c r="K34" s="130">
        <f>SUM('Fins and Parts'!K3:K63)</f>
        <v>0</v>
      </c>
      <c r="L34" s="130">
        <f>SUM('Fins and Parts'!L3:L63)</f>
        <v>0</v>
      </c>
      <c r="M34" s="136"/>
      <c r="N34" s="130">
        <f>SUM('Fins and Parts'!M3:M63)</f>
        <v>0</v>
      </c>
      <c r="O34" s="130">
        <f>SUM('Fins and Parts'!N3:N63)</f>
        <v>0</v>
      </c>
      <c r="P34" s="130">
        <f>SUM('Fins and Parts'!O3:O63)</f>
        <v>0</v>
      </c>
      <c r="Q34" s="490"/>
      <c r="R34" s="414"/>
      <c r="S34" s="414"/>
      <c r="T34" s="414"/>
      <c r="U34" s="414"/>
    </row>
    <row r="35" spans="1:21" s="18" customFormat="1" ht="15" customHeight="1">
      <c r="A35" s="90"/>
      <c r="B35" s="492"/>
      <c r="C35" s="97"/>
      <c r="D35" s="98"/>
      <c r="E35" s="99"/>
      <c r="F35" s="83"/>
      <c r="G35" s="83"/>
      <c r="H35" s="83"/>
      <c r="I35" s="94"/>
      <c r="J35" s="131"/>
      <c r="K35" s="131"/>
      <c r="L35" s="131"/>
      <c r="M35" s="136"/>
      <c r="N35" s="131"/>
      <c r="O35" s="131"/>
      <c r="P35" s="131"/>
      <c r="Q35" s="449"/>
      <c r="R35" s="414"/>
      <c r="S35" s="414"/>
      <c r="T35" s="414"/>
      <c r="U35" s="414"/>
    </row>
    <row r="36" spans="1:21" s="18" customFormat="1" ht="34.5" customHeight="1">
      <c r="A36" s="77"/>
      <c r="B36" s="493"/>
      <c r="C36" s="124"/>
      <c r="D36" s="126" t="s">
        <v>352</v>
      </c>
      <c r="E36" s="101"/>
      <c r="F36" s="138">
        <f>SUM(F12:F35)</f>
        <v>0</v>
      </c>
      <c r="G36" s="138">
        <f>SUM(G12:G35)</f>
        <v>0</v>
      </c>
      <c r="H36" s="138">
        <f>SUM(H12:H35)</f>
        <v>0</v>
      </c>
      <c r="I36" s="102"/>
      <c r="J36" s="138">
        <f>SUM(J12:J35)</f>
        <v>0</v>
      </c>
      <c r="K36" s="138">
        <f>SUM(K12:K35)</f>
        <v>0</v>
      </c>
      <c r="L36" s="138">
        <f>SUM(L12:L35)</f>
        <v>0</v>
      </c>
      <c r="M36" s="137"/>
      <c r="N36" s="138">
        <f>SUM(N12:N35)</f>
        <v>0</v>
      </c>
      <c r="O36" s="138">
        <f>SUM(O12:O35)</f>
        <v>0</v>
      </c>
      <c r="P36" s="138">
        <f>SUM(P12:P35)</f>
        <v>0</v>
      </c>
      <c r="Q36" s="490"/>
      <c r="R36" s="414"/>
      <c r="S36" s="414"/>
      <c r="T36" s="414"/>
      <c r="U36" s="414"/>
    </row>
    <row r="37" spans="1:21" s="7" customFormat="1" ht="16.5" customHeight="1">
      <c r="A37" s="77"/>
      <c r="B37" s="491"/>
      <c r="C37" s="100"/>
      <c r="D37" s="70"/>
      <c r="E37" s="100"/>
      <c r="F37" s="70"/>
      <c r="G37" s="70"/>
      <c r="H37" s="103"/>
      <c r="I37" s="100"/>
      <c r="J37" s="114"/>
      <c r="K37" s="114"/>
      <c r="L37" s="114"/>
      <c r="M37" s="114"/>
      <c r="N37" s="115"/>
      <c r="O37" s="115"/>
      <c r="P37" s="115"/>
      <c r="Q37" s="490"/>
      <c r="R37" s="416"/>
      <c r="S37" s="416"/>
      <c r="T37" s="416"/>
      <c r="U37" s="416"/>
    </row>
    <row r="38" spans="1:21" s="18" customFormat="1" ht="34.5" customHeight="1">
      <c r="A38" s="77"/>
      <c r="B38" s="494"/>
      <c r="C38" s="125"/>
      <c r="D38" s="126" t="s">
        <v>67</v>
      </c>
      <c r="E38" s="101"/>
      <c r="F38" s="620">
        <f>SUM(F36:H36)</f>
        <v>0</v>
      </c>
      <c r="G38" s="621"/>
      <c r="H38" s="622"/>
      <c r="I38" s="102"/>
      <c r="J38" s="623">
        <f>SUM(J36:L36)</f>
        <v>0</v>
      </c>
      <c r="K38" s="624"/>
      <c r="L38" s="625"/>
      <c r="M38" s="113"/>
      <c r="N38" s="626">
        <f>SUM(N36:P36)</f>
        <v>0</v>
      </c>
      <c r="O38" s="627"/>
      <c r="P38" s="628"/>
      <c r="Q38" s="490"/>
      <c r="R38" s="414"/>
      <c r="S38" s="414"/>
      <c r="T38" s="414"/>
      <c r="U38" s="414"/>
    </row>
    <row r="39" spans="1:21" s="7" customFormat="1" ht="15.75" customHeight="1">
      <c r="A39" s="77"/>
      <c r="B39" s="492"/>
      <c r="C39" s="100"/>
      <c r="D39" s="70"/>
      <c r="E39" s="100"/>
      <c r="F39" s="70"/>
      <c r="G39" s="70"/>
      <c r="H39" s="104"/>
      <c r="I39" s="105"/>
      <c r="J39" s="104"/>
      <c r="K39" s="104"/>
      <c r="L39" s="104"/>
      <c r="M39" s="104"/>
      <c r="N39" s="100"/>
      <c r="O39" s="100"/>
      <c r="P39" s="71"/>
      <c r="Q39" s="495"/>
      <c r="R39" s="416"/>
      <c r="S39" s="416"/>
      <c r="T39" s="416"/>
      <c r="U39" s="416"/>
    </row>
    <row r="40" spans="1:21" s="18" customFormat="1" ht="30" customHeight="1">
      <c r="A40" s="90"/>
      <c r="B40" s="652" t="s">
        <v>69</v>
      </c>
      <c r="C40" s="653"/>
      <c r="D40" s="653"/>
      <c r="E40" s="86"/>
      <c r="F40" s="111">
        <f>SUM('SCHOOL PROGRAM'!C18:C40)</f>
        <v>0</v>
      </c>
      <c r="G40" s="111">
        <f>SUM('SCHOOL PROGRAM'!D18:D40)</f>
        <v>0</v>
      </c>
      <c r="H40" s="111">
        <f>SUM('SCHOOL PROGRAM'!E18:E40)</f>
        <v>0</v>
      </c>
      <c r="I40" s="87"/>
      <c r="J40" s="133">
        <f>SUM('SCHOOL PROGRAM'!J18:J40)</f>
        <v>0</v>
      </c>
      <c r="K40" s="133">
        <f>SUM('SCHOOL PROGRAM'!K18:K40)</f>
        <v>0</v>
      </c>
      <c r="L40" s="133">
        <f>SUM('SCHOOL PROGRAM'!L18:L40)</f>
        <v>0</v>
      </c>
      <c r="M40" s="132"/>
      <c r="N40" s="130">
        <f>J40</f>
        <v>0</v>
      </c>
      <c r="O40" s="130">
        <f>K40</f>
        <v>0</v>
      </c>
      <c r="P40" s="130">
        <f>L40</f>
        <v>0</v>
      </c>
      <c r="Q40" s="449"/>
      <c r="R40" s="414"/>
      <c r="S40" s="414"/>
      <c r="T40" s="414"/>
      <c r="U40" s="414"/>
    </row>
    <row r="41" spans="1:21" s="18" customFormat="1" ht="9.75" customHeight="1">
      <c r="A41" s="90"/>
      <c r="B41" s="485"/>
      <c r="C41" s="85"/>
      <c r="D41" s="81"/>
      <c r="E41" s="86"/>
      <c r="F41" s="88"/>
      <c r="G41" s="88"/>
      <c r="H41" s="88"/>
      <c r="I41" s="87"/>
      <c r="J41" s="132"/>
      <c r="K41" s="132"/>
      <c r="L41" s="132"/>
      <c r="M41" s="132"/>
      <c r="N41" s="131"/>
      <c r="O41" s="131"/>
      <c r="P41" s="131"/>
      <c r="Q41" s="449"/>
      <c r="R41" s="414"/>
      <c r="S41" s="414"/>
      <c r="T41" s="414"/>
      <c r="U41" s="414"/>
    </row>
    <row r="42" spans="1:21" s="18" customFormat="1" ht="30" customHeight="1">
      <c r="A42" s="90"/>
      <c r="B42" s="641" t="s">
        <v>70</v>
      </c>
      <c r="C42" s="642"/>
      <c r="D42" s="642"/>
      <c r="E42" s="86"/>
      <c r="F42" s="649">
        <f>SUM(F40:H40)</f>
        <v>0</v>
      </c>
      <c r="G42" s="650"/>
      <c r="H42" s="651"/>
      <c r="I42" s="87"/>
      <c r="J42" s="643">
        <f>SUM(J40:L40)</f>
        <v>0</v>
      </c>
      <c r="K42" s="644"/>
      <c r="L42" s="645"/>
      <c r="M42" s="132"/>
      <c r="N42" s="646">
        <f>J42</f>
        <v>0</v>
      </c>
      <c r="O42" s="647"/>
      <c r="P42" s="648"/>
      <c r="Q42" s="449"/>
      <c r="R42" s="414"/>
      <c r="S42" s="414"/>
      <c r="T42" s="414"/>
      <c r="U42" s="414"/>
    </row>
    <row r="43" spans="1:21" s="18" customFormat="1" ht="18.75" customHeight="1">
      <c r="A43" s="77"/>
      <c r="B43" s="496" t="s">
        <v>66</v>
      </c>
      <c r="C43" s="84"/>
      <c r="D43" s="92"/>
      <c r="E43" s="80"/>
      <c r="F43" s="83"/>
      <c r="G43" s="83"/>
      <c r="H43" s="83"/>
      <c r="I43" s="80"/>
      <c r="J43" s="131"/>
      <c r="K43" s="131"/>
      <c r="L43" s="131"/>
      <c r="M43" s="131"/>
      <c r="N43" s="131"/>
      <c r="O43" s="131"/>
      <c r="P43" s="131"/>
      <c r="Q43" s="495"/>
      <c r="R43" s="414"/>
      <c r="S43" s="414"/>
      <c r="T43" s="414"/>
      <c r="U43" s="414"/>
    </row>
    <row r="44" spans="1:21" s="7" customFormat="1" ht="7.5" customHeight="1">
      <c r="A44" s="90"/>
      <c r="B44" s="497"/>
      <c r="C44" s="109"/>
      <c r="D44" s="108"/>
      <c r="E44" s="108"/>
      <c r="F44" s="108"/>
      <c r="G44" s="108"/>
      <c r="H44" s="106"/>
      <c r="I44" s="107"/>
      <c r="J44" s="107"/>
      <c r="K44" s="107"/>
      <c r="L44" s="107"/>
      <c r="M44" s="107"/>
      <c r="N44" s="108"/>
      <c r="O44" s="108"/>
      <c r="P44" s="95"/>
      <c r="Q44" s="449"/>
      <c r="R44" s="416"/>
      <c r="S44" s="416"/>
      <c r="T44" s="416"/>
      <c r="U44" s="416"/>
    </row>
    <row r="45" spans="1:21" ht="30.75" customHeight="1">
      <c r="A45" s="77"/>
      <c r="B45" s="629" t="s">
        <v>68</v>
      </c>
      <c r="C45" s="630"/>
      <c r="D45" s="630"/>
      <c r="E45" s="101"/>
      <c r="F45" s="620">
        <f>F38+F42</f>
        <v>0</v>
      </c>
      <c r="G45" s="621"/>
      <c r="H45" s="622"/>
      <c r="I45" s="102"/>
      <c r="J45" s="623">
        <f>J42+J38</f>
        <v>0</v>
      </c>
      <c r="K45" s="624"/>
      <c r="L45" s="625"/>
      <c r="M45" s="113"/>
      <c r="N45" s="626">
        <f>N42+N38</f>
        <v>0</v>
      </c>
      <c r="O45" s="627"/>
      <c r="P45" s="628"/>
      <c r="Q45" s="490"/>
      <c r="R45" s="405"/>
      <c r="S45" s="405"/>
      <c r="T45" s="405"/>
      <c r="U45" s="405"/>
    </row>
    <row r="46" spans="1:21" ht="16.5" customHeight="1" thickBot="1">
      <c r="A46" s="77"/>
      <c r="B46" s="498"/>
      <c r="C46" s="499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500"/>
      <c r="O46" s="500"/>
      <c r="P46" s="441"/>
      <c r="Q46" s="501"/>
      <c r="R46" s="405"/>
      <c r="S46" s="405"/>
      <c r="T46" s="405"/>
      <c r="U46" s="405"/>
    </row>
    <row r="47" ht="16.5" customHeight="1">
      <c r="A47" s="405"/>
    </row>
    <row r="48" ht="16.5" customHeight="1">
      <c r="A48" s="405"/>
    </row>
    <row r="49" ht="16.5" customHeight="1"/>
    <row r="50" spans="2:4" ht="16.5" customHeight="1">
      <c r="B50" s="15"/>
      <c r="C50" s="15"/>
      <c r="D50" s="15"/>
    </row>
    <row r="51" spans="2:4" ht="16.5" customHeight="1">
      <c r="B51" s="14"/>
      <c r="C51" s="14"/>
      <c r="D51" s="14"/>
    </row>
    <row r="52" spans="2:4" s="15" customFormat="1" ht="16.5" customHeight="1">
      <c r="B52" s="7"/>
      <c r="C52" s="7"/>
      <c r="D52" s="7"/>
    </row>
    <row r="53" spans="2:4" s="14" customFormat="1" ht="16.5" customHeight="1">
      <c r="B53" s="12"/>
      <c r="C53" s="12"/>
      <c r="D53" s="12"/>
    </row>
    <row r="54" s="7" customFormat="1" ht="16.5" customHeight="1"/>
    <row r="55" ht="16.5" customHeight="1"/>
    <row r="56" s="7" customFormat="1" ht="16.5" customHeight="1"/>
    <row r="57" ht="16.5" customHeight="1"/>
    <row r="58" spans="2:4" s="7" customFormat="1" ht="16.5" customHeight="1">
      <c r="B58" s="12"/>
      <c r="C58" s="12"/>
      <c r="D58" s="12"/>
    </row>
  </sheetData>
  <sheetProtection/>
  <mergeCells count="20">
    <mergeCell ref="J42:L42"/>
    <mergeCell ref="N42:P42"/>
    <mergeCell ref="F42:H42"/>
    <mergeCell ref="B40:D40"/>
    <mergeCell ref="F10:H10"/>
    <mergeCell ref="J10:L10"/>
    <mergeCell ref="N10:P10"/>
    <mergeCell ref="F38:H38"/>
    <mergeCell ref="J38:L38"/>
    <mergeCell ref="N38:P38"/>
    <mergeCell ref="F45:H45"/>
    <mergeCell ref="J45:L45"/>
    <mergeCell ref="N45:P45"/>
    <mergeCell ref="B45:D45"/>
    <mergeCell ref="B6:Q6"/>
    <mergeCell ref="C8:H8"/>
    <mergeCell ref="L8:P8"/>
    <mergeCell ref="L7:P7"/>
    <mergeCell ref="C7:H7"/>
    <mergeCell ref="B42:D42"/>
  </mergeCells>
  <printOptions/>
  <pageMargins left="0.11555555555555555" right="0.75" top="0.52" bottom="0.5" header="0.5" footer="0.5"/>
  <pageSetup fitToHeight="1" fitToWidth="1" orientation="landscape" scale="5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showRowColHeaders="0" tabSelected="1" zoomScale="125" zoomScaleNormal="125" zoomScalePageLayoutView="0" workbookViewId="0" topLeftCell="A1">
      <selection activeCell="G1" sqref="G1"/>
    </sheetView>
  </sheetViews>
  <sheetFormatPr defaultColWidth="8.8515625" defaultRowHeight="12.75"/>
  <cols>
    <col min="1" max="1" width="9.8515625" style="0" bestFit="1" customWidth="1"/>
    <col min="2" max="2" width="28.28125" style="0" bestFit="1" customWidth="1"/>
    <col min="3" max="3" width="7.140625" style="0" customWidth="1"/>
    <col min="4" max="4" width="7.421875" style="0" customWidth="1"/>
    <col min="5" max="5" width="6.8515625" style="0" customWidth="1"/>
    <col min="6" max="6" width="9.421875" style="0" customWidth="1"/>
    <col min="7" max="7" width="9.140625" style="729" bestFit="1" customWidth="1"/>
    <col min="8" max="8" width="10.8515625" style="0" hidden="1" customWidth="1"/>
    <col min="9" max="9" width="9.421875" style="0" customWidth="1"/>
    <col min="10" max="14" width="14.28125" style="0" hidden="1" customWidth="1"/>
    <col min="15" max="15" width="0.13671875" style="0" customWidth="1"/>
    <col min="16" max="16" width="11.00390625" style="0" bestFit="1" customWidth="1"/>
  </cols>
  <sheetData>
    <row r="1" spans="1:18" s="208" customFormat="1" ht="12.75">
      <c r="A1" s="232" t="s">
        <v>315</v>
      </c>
      <c r="B1" s="232" t="s">
        <v>316</v>
      </c>
      <c r="C1" s="232" t="s">
        <v>342</v>
      </c>
      <c r="D1" s="232" t="s">
        <v>343</v>
      </c>
      <c r="E1" s="232" t="s">
        <v>344</v>
      </c>
      <c r="F1" s="187" t="s">
        <v>345</v>
      </c>
      <c r="G1" s="727" t="s">
        <v>498</v>
      </c>
      <c r="H1" s="233" t="s">
        <v>473</v>
      </c>
      <c r="I1" s="232" t="s">
        <v>499</v>
      </c>
      <c r="J1" s="232" t="s">
        <v>464</v>
      </c>
      <c r="K1" s="232" t="s">
        <v>465</v>
      </c>
      <c r="L1" s="232" t="s">
        <v>466</v>
      </c>
      <c r="M1" s="232" t="s">
        <v>467</v>
      </c>
      <c r="N1" s="232" t="s">
        <v>468</v>
      </c>
      <c r="O1" s="232" t="s">
        <v>469</v>
      </c>
      <c r="P1" s="234" t="s">
        <v>318</v>
      </c>
      <c r="Q1" s="207"/>
      <c r="R1" s="207"/>
    </row>
    <row r="2" spans="1:16" ht="18.75" customHeight="1">
      <c r="A2" s="657" t="s">
        <v>241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</row>
    <row r="3" spans="1:16" ht="15.75" customHeight="1">
      <c r="A3" s="725" t="s">
        <v>140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ht="15.75" customHeight="1">
      <c r="A4" s="655" t="s">
        <v>141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</row>
    <row r="5" spans="1:16" ht="12.75">
      <c r="A5" s="251">
        <v>2128100</v>
      </c>
      <c r="B5" s="252" t="s">
        <v>142</v>
      </c>
      <c r="C5" s="242"/>
      <c r="D5" s="242"/>
      <c r="E5" s="242"/>
      <c r="F5" s="243">
        <f>SUM(C5:E5)</f>
        <v>0</v>
      </c>
      <c r="G5" s="728">
        <f>SUM(I5*0.6)</f>
        <v>839.994</v>
      </c>
      <c r="H5" s="245">
        <f>G5*(1-'Dealer Inputs'!$D$22)*(1-'Dealer Inputs'!$H$22)*(1-'Dealer Inputs'!$L$22)</f>
        <v>629.9955</v>
      </c>
      <c r="I5" s="253">
        <v>1399.99</v>
      </c>
      <c r="J5" s="254">
        <f aca="true" t="shared" si="0" ref="J5:L6">SUM(C5*$G5)</f>
        <v>0</v>
      </c>
      <c r="K5" s="254">
        <f t="shared" si="0"/>
        <v>0</v>
      </c>
      <c r="L5" s="254">
        <f t="shared" si="0"/>
        <v>0</v>
      </c>
      <c r="M5" s="254">
        <f aca="true" t="shared" si="1" ref="M5:O6">SUM(C5*$H5)</f>
        <v>0</v>
      </c>
      <c r="N5" s="254">
        <f t="shared" si="1"/>
        <v>0</v>
      </c>
      <c r="O5" s="254">
        <f t="shared" si="1"/>
        <v>0</v>
      </c>
      <c r="P5" s="247">
        <f>H5*F5</f>
        <v>0</v>
      </c>
    </row>
    <row r="6" spans="1:16" ht="13.5" customHeight="1">
      <c r="A6" s="255">
        <v>2128101</v>
      </c>
      <c r="B6" s="186" t="s">
        <v>143</v>
      </c>
      <c r="C6" s="242"/>
      <c r="D6" s="242"/>
      <c r="E6" s="242"/>
      <c r="F6" s="243">
        <f>SUM(C6:E6)</f>
        <v>0</v>
      </c>
      <c r="G6" s="728">
        <f>SUM(I6*0.6)</f>
        <v>899.994</v>
      </c>
      <c r="H6" s="245">
        <f>G6*(1-'Dealer Inputs'!$D$22)*(1-'Dealer Inputs'!$H$22)*(1-'Dealer Inputs'!$L$22)</f>
        <v>674.9955</v>
      </c>
      <c r="I6" s="256">
        <v>1499.99</v>
      </c>
      <c r="J6" s="254">
        <f t="shared" si="0"/>
        <v>0</v>
      </c>
      <c r="K6" s="254">
        <f t="shared" si="0"/>
        <v>0</v>
      </c>
      <c r="L6" s="254">
        <f t="shared" si="0"/>
        <v>0</v>
      </c>
      <c r="M6" s="254">
        <f t="shared" si="1"/>
        <v>0</v>
      </c>
      <c r="N6" s="254">
        <f t="shared" si="1"/>
        <v>0</v>
      </c>
      <c r="O6" s="254">
        <f t="shared" si="1"/>
        <v>0</v>
      </c>
      <c r="P6" s="247">
        <f>H6*F6</f>
        <v>0</v>
      </c>
    </row>
    <row r="7" spans="1:16" ht="12.75">
      <c r="A7" s="255">
        <v>2128102</v>
      </c>
      <c r="B7" s="186" t="s">
        <v>155</v>
      </c>
      <c r="C7" s="242"/>
      <c r="D7" s="242"/>
      <c r="E7" s="242"/>
      <c r="F7" s="243">
        <f aca="true" t="shared" si="2" ref="F7:F25">SUM(C7:E7)</f>
        <v>0</v>
      </c>
      <c r="G7" s="728">
        <f>SUM(I7*0.6)</f>
        <v>959.9939999999999</v>
      </c>
      <c r="H7" s="245">
        <f>G7*(1-'Dealer Inputs'!$D$22)*(1-'Dealer Inputs'!$H$22)*(1-'Dealer Inputs'!$L$22)</f>
        <v>719.9955</v>
      </c>
      <c r="I7" s="256">
        <v>1599.99</v>
      </c>
      <c r="J7" s="254"/>
      <c r="K7" s="254"/>
      <c r="L7" s="254"/>
      <c r="M7" s="254"/>
      <c r="N7" s="254"/>
      <c r="O7" s="254"/>
      <c r="P7" s="247">
        <f>H7*F7</f>
        <v>0</v>
      </c>
    </row>
    <row r="8" spans="1:16" ht="12.75">
      <c r="A8" s="255">
        <v>2128103</v>
      </c>
      <c r="B8" s="186" t="s">
        <v>144</v>
      </c>
      <c r="C8" s="242"/>
      <c r="D8" s="242"/>
      <c r="E8" s="242"/>
      <c r="F8" s="243">
        <f t="shared" si="2"/>
        <v>0</v>
      </c>
      <c r="G8" s="728">
        <f aca="true" t="shared" si="3" ref="G8:G26">SUM(I8*0.6)</f>
        <v>1019.9939999999999</v>
      </c>
      <c r="H8" s="245">
        <f>G8*(1-'Dealer Inputs'!$D$22)*(1-'Dealer Inputs'!$H$22)*(1-'Dealer Inputs'!$L$22)</f>
        <v>764.9955</v>
      </c>
      <c r="I8" s="256">
        <v>1699.99</v>
      </c>
      <c r="J8" s="254">
        <f aca="true" t="shared" si="4" ref="J8:L9">SUM(C8*$G8)</f>
        <v>0</v>
      </c>
      <c r="K8" s="254">
        <f t="shared" si="4"/>
        <v>0</v>
      </c>
      <c r="L8" s="254">
        <f t="shared" si="4"/>
        <v>0</v>
      </c>
      <c r="M8" s="254">
        <f aca="true" t="shared" si="5" ref="M8:O9">SUM(C8*$H8)</f>
        <v>0</v>
      </c>
      <c r="N8" s="254">
        <f t="shared" si="5"/>
        <v>0</v>
      </c>
      <c r="O8" s="254">
        <f t="shared" si="5"/>
        <v>0</v>
      </c>
      <c r="P8" s="247">
        <f aca="true" t="shared" si="6" ref="P8:P26">H8*F8</f>
        <v>0</v>
      </c>
    </row>
    <row r="9" spans="1:16" ht="12.75">
      <c r="A9" s="255">
        <v>2128104</v>
      </c>
      <c r="B9" s="186" t="s">
        <v>145</v>
      </c>
      <c r="C9" s="242"/>
      <c r="D9" s="242"/>
      <c r="E9" s="242"/>
      <c r="F9" s="243">
        <f t="shared" si="2"/>
        <v>0</v>
      </c>
      <c r="G9" s="728">
        <f t="shared" si="3"/>
        <v>1079.994</v>
      </c>
      <c r="H9" s="245">
        <f>G9*(1-'Dealer Inputs'!$D$22)*(1-'Dealer Inputs'!$H$22)*(1-'Dealer Inputs'!$L$22)</f>
        <v>809.9955</v>
      </c>
      <c r="I9" s="256">
        <v>1799.99</v>
      </c>
      <c r="J9" s="254">
        <f t="shared" si="4"/>
        <v>0</v>
      </c>
      <c r="K9" s="254">
        <f t="shared" si="4"/>
        <v>0</v>
      </c>
      <c r="L9" s="254">
        <f t="shared" si="4"/>
        <v>0</v>
      </c>
      <c r="M9" s="254">
        <f t="shared" si="5"/>
        <v>0</v>
      </c>
      <c r="N9" s="254">
        <f t="shared" si="5"/>
        <v>0</v>
      </c>
      <c r="O9" s="254">
        <f t="shared" si="5"/>
        <v>0</v>
      </c>
      <c r="P9" s="247">
        <f t="shared" si="6"/>
        <v>0</v>
      </c>
    </row>
    <row r="10" spans="1:16" ht="15.75">
      <c r="A10" s="658" t="s">
        <v>146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</row>
    <row r="11" spans="1:16" ht="12.75">
      <c r="A11" s="255">
        <v>2128094</v>
      </c>
      <c r="B11" s="257" t="s">
        <v>147</v>
      </c>
      <c r="C11" s="242"/>
      <c r="D11" s="242"/>
      <c r="E11" s="242"/>
      <c r="F11" s="243">
        <f>SUM(C11:E11)</f>
        <v>0</v>
      </c>
      <c r="G11" s="728">
        <f>SUM(I11*0.6)</f>
        <v>959.9939999999999</v>
      </c>
      <c r="H11" s="245">
        <f>G11*(1-'Dealer Inputs'!$D$22)*(1-'Dealer Inputs'!$H$22)*(1-'Dealer Inputs'!$L$22)</f>
        <v>719.9955</v>
      </c>
      <c r="I11" s="258">
        <v>1599.99</v>
      </c>
      <c r="J11" s="254"/>
      <c r="K11" s="254"/>
      <c r="L11" s="254"/>
      <c r="M11" s="254"/>
      <c r="N11" s="254"/>
      <c r="O11" s="254"/>
      <c r="P11" s="247">
        <f>H11*F11</f>
        <v>0</v>
      </c>
    </row>
    <row r="12" spans="1:16" ht="12.75">
      <c r="A12" s="255">
        <v>2128095</v>
      </c>
      <c r="B12" s="257" t="s">
        <v>148</v>
      </c>
      <c r="C12" s="242"/>
      <c r="D12" s="242"/>
      <c r="E12" s="242"/>
      <c r="F12" s="243">
        <f>SUM(C12:E12)</f>
        <v>0</v>
      </c>
      <c r="G12" s="728">
        <f>SUM(I12*0.6)</f>
        <v>1019.9939999999999</v>
      </c>
      <c r="H12" s="245">
        <f>G12*(1-'Dealer Inputs'!$D$22)*(1-'Dealer Inputs'!$H$22)*(1-'Dealer Inputs'!$L$22)</f>
        <v>764.9955</v>
      </c>
      <c r="I12" s="258">
        <v>1699.99</v>
      </c>
      <c r="J12" s="254">
        <f aca="true" t="shared" si="7" ref="J12:L13">SUM(C12*$G12)</f>
        <v>0</v>
      </c>
      <c r="K12" s="254">
        <f t="shared" si="7"/>
        <v>0</v>
      </c>
      <c r="L12" s="254">
        <f t="shared" si="7"/>
        <v>0</v>
      </c>
      <c r="M12" s="254">
        <f aca="true" t="shared" si="8" ref="M12:O13">SUM(C12*$H12)</f>
        <v>0</v>
      </c>
      <c r="N12" s="254">
        <f t="shared" si="8"/>
        <v>0</v>
      </c>
      <c r="O12" s="254">
        <f t="shared" si="8"/>
        <v>0</v>
      </c>
      <c r="P12" s="247">
        <f>H12*F12</f>
        <v>0</v>
      </c>
    </row>
    <row r="13" spans="1:16" ht="12.75">
      <c r="A13" s="255">
        <v>2128096</v>
      </c>
      <c r="B13" s="257" t="s">
        <v>149</v>
      </c>
      <c r="C13" s="242"/>
      <c r="D13" s="242"/>
      <c r="E13" s="242"/>
      <c r="F13" s="243">
        <f>SUM(C13:E13)</f>
        <v>0</v>
      </c>
      <c r="G13" s="728">
        <f>SUM(I13*0.6)</f>
        <v>1079.994</v>
      </c>
      <c r="H13" s="245">
        <f>G13*(1-'Dealer Inputs'!$D$22)*(1-'Dealer Inputs'!$H$22)*(1-'Dealer Inputs'!$L$22)</f>
        <v>809.9955</v>
      </c>
      <c r="I13" s="258">
        <v>1799.99</v>
      </c>
      <c r="J13" s="254">
        <f t="shared" si="7"/>
        <v>0</v>
      </c>
      <c r="K13" s="254">
        <f t="shared" si="7"/>
        <v>0</v>
      </c>
      <c r="L13" s="254">
        <f t="shared" si="7"/>
        <v>0</v>
      </c>
      <c r="M13" s="254">
        <f t="shared" si="8"/>
        <v>0</v>
      </c>
      <c r="N13" s="254">
        <f t="shared" si="8"/>
        <v>0</v>
      </c>
      <c r="O13" s="254">
        <f t="shared" si="8"/>
        <v>0</v>
      </c>
      <c r="P13" s="247">
        <f>H13*F13</f>
        <v>0</v>
      </c>
    </row>
    <row r="14" spans="1:16" ht="12.75">
      <c r="A14" s="255">
        <v>2128097</v>
      </c>
      <c r="B14" s="257" t="s">
        <v>150</v>
      </c>
      <c r="C14" s="242"/>
      <c r="D14" s="242"/>
      <c r="E14" s="242"/>
      <c r="F14" s="243">
        <f>SUM(C14:E14)</f>
        <v>0</v>
      </c>
      <c r="G14" s="728">
        <f>SUM(I14*0.6)</f>
        <v>1139.994</v>
      </c>
      <c r="H14" s="245">
        <f>G14*(1-'Dealer Inputs'!$D$22)*(1-'Dealer Inputs'!$H$22)*(1-'Dealer Inputs'!$L$22)</f>
        <v>854.9955</v>
      </c>
      <c r="I14" s="258">
        <v>1899.99</v>
      </c>
      <c r="J14" s="254"/>
      <c r="K14" s="254"/>
      <c r="L14" s="254"/>
      <c r="M14" s="254"/>
      <c r="N14" s="254"/>
      <c r="O14" s="254"/>
      <c r="P14" s="247">
        <f>H14*F14</f>
        <v>0</v>
      </c>
    </row>
    <row r="15" spans="1:16" ht="12.75">
      <c r="A15" s="255">
        <v>2128098</v>
      </c>
      <c r="B15" s="257" t="s">
        <v>151</v>
      </c>
      <c r="C15" s="242"/>
      <c r="D15" s="242"/>
      <c r="E15" s="242"/>
      <c r="F15" s="243">
        <f t="shared" si="2"/>
        <v>0</v>
      </c>
      <c r="G15" s="728">
        <f t="shared" si="3"/>
        <v>1199.994</v>
      </c>
      <c r="H15" s="245">
        <f>G15*(1-'Dealer Inputs'!$D$22)*(1-'Dealer Inputs'!$H$22)*(1-'Dealer Inputs'!$L$22)</f>
        <v>899.9955</v>
      </c>
      <c r="I15" s="258">
        <v>1999.99</v>
      </c>
      <c r="J15" s="254">
        <f aca="true" t="shared" si="9" ref="J15:L16">SUM(C15*$G15)</f>
        <v>0</v>
      </c>
      <c r="K15" s="254">
        <f t="shared" si="9"/>
        <v>0</v>
      </c>
      <c r="L15" s="254">
        <f t="shared" si="9"/>
        <v>0</v>
      </c>
      <c r="M15" s="254">
        <f aca="true" t="shared" si="10" ref="M15:O16">SUM(C15*$H15)</f>
        <v>0</v>
      </c>
      <c r="N15" s="254">
        <f t="shared" si="10"/>
        <v>0</v>
      </c>
      <c r="O15" s="254">
        <f t="shared" si="10"/>
        <v>0</v>
      </c>
      <c r="P15" s="247">
        <f t="shared" si="6"/>
        <v>0</v>
      </c>
    </row>
    <row r="16" spans="1:16" ht="12.75">
      <c r="A16" s="255">
        <v>2128099</v>
      </c>
      <c r="B16" s="257" t="s">
        <v>152</v>
      </c>
      <c r="C16" s="242"/>
      <c r="D16" s="242"/>
      <c r="E16" s="242"/>
      <c r="F16" s="243">
        <f t="shared" si="2"/>
        <v>0</v>
      </c>
      <c r="G16" s="728">
        <f t="shared" si="3"/>
        <v>1259.994</v>
      </c>
      <c r="H16" s="245">
        <f>G16*(1-'Dealer Inputs'!$D$22)*(1-'Dealer Inputs'!$H$22)*(1-'Dealer Inputs'!$L$22)</f>
        <v>944.9955</v>
      </c>
      <c r="I16" s="258">
        <v>2099.99</v>
      </c>
      <c r="J16" s="254">
        <f t="shared" si="9"/>
        <v>0</v>
      </c>
      <c r="K16" s="254">
        <f t="shared" si="9"/>
        <v>0</v>
      </c>
      <c r="L16" s="254">
        <f t="shared" si="9"/>
        <v>0</v>
      </c>
      <c r="M16" s="254">
        <f t="shared" si="10"/>
        <v>0</v>
      </c>
      <c r="N16" s="254">
        <f t="shared" si="10"/>
        <v>0</v>
      </c>
      <c r="O16" s="254">
        <f t="shared" si="10"/>
        <v>0</v>
      </c>
      <c r="P16" s="247">
        <f t="shared" si="6"/>
        <v>0</v>
      </c>
    </row>
    <row r="17" spans="1:16" ht="15.75" customHeight="1">
      <c r="A17" s="655" t="s">
        <v>153</v>
      </c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</row>
    <row r="18" spans="1:16" ht="12.75">
      <c r="A18" s="251">
        <v>2128110</v>
      </c>
      <c r="B18" s="259" t="s">
        <v>59</v>
      </c>
      <c r="C18" s="242"/>
      <c r="D18" s="242"/>
      <c r="E18" s="242"/>
      <c r="F18" s="243">
        <f t="shared" si="2"/>
        <v>0</v>
      </c>
      <c r="G18" s="728">
        <f t="shared" si="3"/>
        <v>839.994</v>
      </c>
      <c r="H18" s="245">
        <f>G18*(1-'Dealer Inputs'!$D$22)*(1-'Dealer Inputs'!$H$22)*(1-'Dealer Inputs'!$L$22)</f>
        <v>629.9955</v>
      </c>
      <c r="I18" s="253">
        <v>1399.99</v>
      </c>
      <c r="J18" s="254"/>
      <c r="K18" s="254"/>
      <c r="L18" s="254"/>
      <c r="M18" s="254"/>
      <c r="N18" s="254"/>
      <c r="O18" s="254"/>
      <c r="P18" s="247">
        <f t="shared" si="6"/>
        <v>0</v>
      </c>
    </row>
    <row r="19" spans="1:16" ht="12.75">
      <c r="A19" s="255">
        <v>2128111</v>
      </c>
      <c r="B19" s="257" t="s">
        <v>60</v>
      </c>
      <c r="C19" s="242"/>
      <c r="D19" s="242"/>
      <c r="E19" s="242"/>
      <c r="F19" s="243">
        <f t="shared" si="2"/>
        <v>0</v>
      </c>
      <c r="G19" s="728">
        <f t="shared" si="3"/>
        <v>899.994</v>
      </c>
      <c r="H19" s="245">
        <f>G19*(1-'Dealer Inputs'!$D$22)*(1-'Dealer Inputs'!$H$22)*(1-'Dealer Inputs'!$L$22)</f>
        <v>674.9955</v>
      </c>
      <c r="I19" s="256">
        <v>1499.99</v>
      </c>
      <c r="J19" s="254"/>
      <c r="K19" s="254"/>
      <c r="L19" s="254"/>
      <c r="M19" s="254"/>
      <c r="N19" s="254"/>
      <c r="O19" s="254"/>
      <c r="P19" s="247">
        <f t="shared" si="6"/>
        <v>0</v>
      </c>
    </row>
    <row r="20" spans="1:16" ht="12.75">
      <c r="A20" s="255">
        <v>2128112</v>
      </c>
      <c r="B20" s="257" t="s">
        <v>61</v>
      </c>
      <c r="C20" s="242"/>
      <c r="D20" s="242"/>
      <c r="E20" s="242"/>
      <c r="F20" s="243">
        <f t="shared" si="2"/>
        <v>0</v>
      </c>
      <c r="G20" s="728">
        <f t="shared" si="3"/>
        <v>959.9939999999999</v>
      </c>
      <c r="H20" s="245">
        <f>G20*(1-'Dealer Inputs'!$D$22)*(1-'Dealer Inputs'!$H$22)*(1-'Dealer Inputs'!$L$22)</f>
        <v>719.9955</v>
      </c>
      <c r="I20" s="256">
        <v>1599.99</v>
      </c>
      <c r="J20" s="254">
        <f aca="true" t="shared" si="11" ref="J20:L21">SUM(C20*$G20)</f>
        <v>0</v>
      </c>
      <c r="K20" s="254">
        <f t="shared" si="11"/>
        <v>0</v>
      </c>
      <c r="L20" s="254">
        <f t="shared" si="11"/>
        <v>0</v>
      </c>
      <c r="M20" s="254">
        <f aca="true" t="shared" si="12" ref="M20:O21">SUM(C20*$H20)</f>
        <v>0</v>
      </c>
      <c r="N20" s="254">
        <f t="shared" si="12"/>
        <v>0</v>
      </c>
      <c r="O20" s="254">
        <f t="shared" si="12"/>
        <v>0</v>
      </c>
      <c r="P20" s="247">
        <f t="shared" si="6"/>
        <v>0</v>
      </c>
    </row>
    <row r="21" spans="1:16" ht="12.75">
      <c r="A21" s="255">
        <v>2128113</v>
      </c>
      <c r="B21" s="257" t="s">
        <v>62</v>
      </c>
      <c r="C21" s="242"/>
      <c r="D21" s="242"/>
      <c r="E21" s="242"/>
      <c r="F21" s="243">
        <f t="shared" si="2"/>
        <v>0</v>
      </c>
      <c r="G21" s="728">
        <f t="shared" si="3"/>
        <v>1019.9939999999999</v>
      </c>
      <c r="H21" s="245">
        <f>G21*(1-'Dealer Inputs'!$D$22)*(1-'Dealer Inputs'!$H$22)*(1-'Dealer Inputs'!$L$22)</f>
        <v>764.9955</v>
      </c>
      <c r="I21" s="256">
        <v>1699.99</v>
      </c>
      <c r="J21" s="254">
        <f t="shared" si="11"/>
        <v>0</v>
      </c>
      <c r="K21" s="254">
        <f t="shared" si="11"/>
        <v>0</v>
      </c>
      <c r="L21" s="254">
        <f t="shared" si="11"/>
        <v>0</v>
      </c>
      <c r="M21" s="254">
        <f t="shared" si="12"/>
        <v>0</v>
      </c>
      <c r="N21" s="254">
        <f t="shared" si="12"/>
        <v>0</v>
      </c>
      <c r="O21" s="254">
        <f t="shared" si="12"/>
        <v>0</v>
      </c>
      <c r="P21" s="247">
        <f t="shared" si="6"/>
        <v>0</v>
      </c>
    </row>
    <row r="22" spans="1:16" ht="12.75">
      <c r="A22" s="255">
        <v>2128114</v>
      </c>
      <c r="B22" s="257" t="s">
        <v>63</v>
      </c>
      <c r="C22" s="242"/>
      <c r="D22" s="242"/>
      <c r="E22" s="242"/>
      <c r="F22" s="243">
        <f t="shared" si="2"/>
        <v>0</v>
      </c>
      <c r="G22" s="728">
        <f t="shared" si="3"/>
        <v>1079.994</v>
      </c>
      <c r="H22" s="245">
        <f>G22*(1-'Dealer Inputs'!$D$22)*(1-'Dealer Inputs'!$H$22)*(1-'Dealer Inputs'!$L$22)</f>
        <v>809.9955</v>
      </c>
      <c r="I22" s="256">
        <v>1799.99</v>
      </c>
      <c r="J22" s="254"/>
      <c r="K22" s="254"/>
      <c r="L22" s="254"/>
      <c r="M22" s="254"/>
      <c r="N22" s="254"/>
      <c r="O22" s="254"/>
      <c r="P22" s="247">
        <f t="shared" si="6"/>
        <v>0</v>
      </c>
    </row>
    <row r="23" spans="1:16" ht="12.75">
      <c r="A23" s="255">
        <v>2128115</v>
      </c>
      <c r="B23" s="257" t="s">
        <v>64</v>
      </c>
      <c r="C23" s="242"/>
      <c r="D23" s="242"/>
      <c r="E23" s="242"/>
      <c r="F23" s="243">
        <f t="shared" si="2"/>
        <v>0</v>
      </c>
      <c r="G23" s="728">
        <f t="shared" si="3"/>
        <v>1139.994</v>
      </c>
      <c r="H23" s="245">
        <f>G23*(1-'Dealer Inputs'!$D$22)*(1-'Dealer Inputs'!$H$22)*(1-'Dealer Inputs'!$L$22)</f>
        <v>854.9955</v>
      </c>
      <c r="I23" s="256">
        <v>1899.99</v>
      </c>
      <c r="J23" s="254"/>
      <c r="K23" s="254"/>
      <c r="L23" s="254"/>
      <c r="M23" s="254"/>
      <c r="N23" s="254"/>
      <c r="O23" s="254"/>
      <c r="P23" s="247">
        <f t="shared" si="6"/>
        <v>0</v>
      </c>
    </row>
    <row r="24" spans="1:16" ht="15" customHeight="1">
      <c r="A24" s="655" t="s">
        <v>156</v>
      </c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</row>
    <row r="25" spans="1:16" ht="15" customHeight="1">
      <c r="A25" s="260">
        <v>2128135</v>
      </c>
      <c r="B25" s="261" t="s">
        <v>157</v>
      </c>
      <c r="C25" s="242"/>
      <c r="D25" s="242"/>
      <c r="E25" s="242"/>
      <c r="F25" s="243">
        <f t="shared" si="2"/>
        <v>0</v>
      </c>
      <c r="G25" s="728">
        <f>SUM(I25*0.7)</f>
        <v>104.993</v>
      </c>
      <c r="H25" s="244">
        <f>G25</f>
        <v>104.993</v>
      </c>
      <c r="I25" s="262">
        <v>149.99</v>
      </c>
      <c r="J25" s="254">
        <f>SUM(C25*$G25)</f>
        <v>0</v>
      </c>
      <c r="K25" s="254">
        <f>SUM(D25*$G25)</f>
        <v>0</v>
      </c>
      <c r="L25" s="254">
        <f>SUM(E25*$G25)</f>
        <v>0</v>
      </c>
      <c r="M25" s="254">
        <f>SUM(C25*$H25)</f>
        <v>0</v>
      </c>
      <c r="N25" s="254">
        <f>SUM(D25*$H25)</f>
        <v>0</v>
      </c>
      <c r="O25" s="254">
        <f>SUM(E25*$H25)</f>
        <v>0</v>
      </c>
      <c r="P25" s="247">
        <f t="shared" si="6"/>
        <v>0</v>
      </c>
    </row>
    <row r="26" spans="1:16" ht="12.75">
      <c r="A26" s="263">
        <v>2128136</v>
      </c>
      <c r="B26" s="261" t="s">
        <v>158</v>
      </c>
      <c r="C26" s="242"/>
      <c r="D26" s="242"/>
      <c r="E26" s="242"/>
      <c r="F26" s="243">
        <f>SUM(C26:E26)</f>
        <v>0</v>
      </c>
      <c r="G26" s="728">
        <f t="shared" si="3"/>
        <v>119.994</v>
      </c>
      <c r="H26" s="245">
        <f>H25</f>
        <v>104.993</v>
      </c>
      <c r="I26" s="262">
        <v>199.99</v>
      </c>
      <c r="J26" s="254"/>
      <c r="K26" s="254"/>
      <c r="L26" s="254"/>
      <c r="M26" s="254"/>
      <c r="N26" s="254"/>
      <c r="O26" s="254"/>
      <c r="P26" s="247">
        <f t="shared" si="6"/>
        <v>0</v>
      </c>
    </row>
    <row r="27" spans="1:16" ht="15.75">
      <c r="A27" s="655" t="s">
        <v>159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</row>
    <row r="28" spans="1:16" ht="12.75" customHeight="1">
      <c r="A28" s="251">
        <v>2128005</v>
      </c>
      <c r="B28" s="259" t="s">
        <v>160</v>
      </c>
      <c r="C28" s="242"/>
      <c r="D28" s="242"/>
      <c r="E28" s="242"/>
      <c r="F28" s="243">
        <f aca="true" t="shared" si="13" ref="F28:F33">SUM(C28:E28)</f>
        <v>0</v>
      </c>
      <c r="G28" s="728">
        <f aca="true" t="shared" si="14" ref="G28:G33">SUM(I28*0.6)</f>
        <v>251.994</v>
      </c>
      <c r="H28" s="245">
        <f>G28*(1-'Dealer Inputs'!$D$22)*(1-'Dealer Inputs'!$H$22)*(1-'Dealer Inputs'!L$22)</f>
        <v>188.9955</v>
      </c>
      <c r="I28" s="253">
        <v>419.99</v>
      </c>
      <c r="J28" s="254">
        <f aca="true" t="shared" si="15" ref="J28:L29">SUM(C28*$G28)</f>
        <v>0</v>
      </c>
      <c r="K28" s="254">
        <f t="shared" si="15"/>
        <v>0</v>
      </c>
      <c r="L28" s="254">
        <f t="shared" si="15"/>
        <v>0</v>
      </c>
      <c r="M28" s="254">
        <f aca="true" t="shared" si="16" ref="M28:O29">SUM(C28*$H28)</f>
        <v>0</v>
      </c>
      <c r="N28" s="254">
        <f t="shared" si="16"/>
        <v>0</v>
      </c>
      <c r="O28" s="254">
        <f t="shared" si="16"/>
        <v>0</v>
      </c>
      <c r="P28" s="247">
        <f aca="true" t="shared" si="17" ref="P28:P33">H28*F28</f>
        <v>0</v>
      </c>
    </row>
    <row r="29" spans="1:16" ht="12" customHeight="1">
      <c r="A29" s="255">
        <v>2128006</v>
      </c>
      <c r="B29" s="257" t="s">
        <v>161</v>
      </c>
      <c r="C29" s="242"/>
      <c r="D29" s="242"/>
      <c r="E29" s="242"/>
      <c r="F29" s="243">
        <f t="shared" si="13"/>
        <v>0</v>
      </c>
      <c r="G29" s="728">
        <f t="shared" si="14"/>
        <v>251.994</v>
      </c>
      <c r="H29" s="245">
        <f>G29*(1-'Dealer Inputs'!$D$22)*(1-'Dealer Inputs'!$H$22)*(1-'Dealer Inputs'!L$22)</f>
        <v>188.9955</v>
      </c>
      <c r="I29" s="253">
        <v>419.99</v>
      </c>
      <c r="J29" s="254">
        <f t="shared" si="15"/>
        <v>0</v>
      </c>
      <c r="K29" s="254">
        <f t="shared" si="15"/>
        <v>0</v>
      </c>
      <c r="L29" s="254">
        <f t="shared" si="15"/>
        <v>0</v>
      </c>
      <c r="M29" s="254">
        <f t="shared" si="16"/>
        <v>0</v>
      </c>
      <c r="N29" s="254">
        <f t="shared" si="16"/>
        <v>0</v>
      </c>
      <c r="O29" s="254">
        <f t="shared" si="16"/>
        <v>0</v>
      </c>
      <c r="P29" s="247">
        <f t="shared" si="17"/>
        <v>0</v>
      </c>
    </row>
    <row r="30" spans="1:16" ht="12.75">
      <c r="A30" s="255">
        <v>2128007</v>
      </c>
      <c r="B30" s="257" t="s">
        <v>73</v>
      </c>
      <c r="C30" s="242"/>
      <c r="D30" s="242"/>
      <c r="E30" s="242"/>
      <c r="F30" s="243">
        <f t="shared" si="13"/>
        <v>0</v>
      </c>
      <c r="G30" s="728">
        <f t="shared" si="14"/>
        <v>251.994</v>
      </c>
      <c r="H30" s="245">
        <f>G30*(1-'Dealer Inputs'!$D$22)*(1-'Dealer Inputs'!$H$22)*(1-'Dealer Inputs'!L$22)</f>
        <v>188.9955</v>
      </c>
      <c r="I30" s="253">
        <v>419.99</v>
      </c>
      <c r="J30" s="254"/>
      <c r="K30" s="254"/>
      <c r="L30" s="254"/>
      <c r="M30" s="254"/>
      <c r="N30" s="254"/>
      <c r="O30" s="254"/>
      <c r="P30" s="247">
        <f t="shared" si="17"/>
        <v>0</v>
      </c>
    </row>
    <row r="31" spans="1:16" ht="12.75">
      <c r="A31" s="255">
        <v>2128008</v>
      </c>
      <c r="B31" s="257" t="s">
        <v>74</v>
      </c>
      <c r="C31" s="242"/>
      <c r="D31" s="242"/>
      <c r="E31" s="242"/>
      <c r="F31" s="243">
        <f t="shared" si="13"/>
        <v>0</v>
      </c>
      <c r="G31" s="728">
        <f t="shared" si="14"/>
        <v>269.99399999999997</v>
      </c>
      <c r="H31" s="245">
        <f>G31*(1-'Dealer Inputs'!$D$22)*(1-'Dealer Inputs'!$H$22)*(1-'Dealer Inputs'!L$22)</f>
        <v>202.4955</v>
      </c>
      <c r="I31" s="253">
        <v>449.99</v>
      </c>
      <c r="J31" s="254"/>
      <c r="K31" s="254"/>
      <c r="L31" s="254"/>
      <c r="M31" s="254"/>
      <c r="N31" s="254"/>
      <c r="O31" s="254"/>
      <c r="P31" s="247">
        <f t="shared" si="17"/>
        <v>0</v>
      </c>
    </row>
    <row r="32" spans="1:16" ht="12" customHeight="1">
      <c r="A32" s="255">
        <v>2128009</v>
      </c>
      <c r="B32" s="257" t="s">
        <v>75</v>
      </c>
      <c r="C32" s="242"/>
      <c r="D32" s="242"/>
      <c r="E32" s="242"/>
      <c r="F32" s="243">
        <f t="shared" si="13"/>
        <v>0</v>
      </c>
      <c r="G32" s="728">
        <f t="shared" si="14"/>
        <v>269.99399999999997</v>
      </c>
      <c r="H32" s="245">
        <f>G32*(1-'Dealer Inputs'!$D$22)*(1-'Dealer Inputs'!$H$22)*(1-'Dealer Inputs'!L$22)</f>
        <v>202.4955</v>
      </c>
      <c r="I32" s="253">
        <v>449.99</v>
      </c>
      <c r="J32" s="254"/>
      <c r="K32" s="254"/>
      <c r="L32" s="254"/>
      <c r="M32" s="254"/>
      <c r="N32" s="254"/>
      <c r="O32" s="254"/>
      <c r="P32" s="247">
        <f t="shared" si="17"/>
        <v>0</v>
      </c>
    </row>
    <row r="33" spans="1:16" ht="12.75">
      <c r="A33" s="255">
        <v>2128047</v>
      </c>
      <c r="B33" s="257" t="s">
        <v>76</v>
      </c>
      <c r="C33" s="242"/>
      <c r="D33" s="242"/>
      <c r="E33" s="242"/>
      <c r="F33" s="243">
        <f t="shared" si="13"/>
        <v>0</v>
      </c>
      <c r="G33" s="728">
        <f t="shared" si="14"/>
        <v>197.4</v>
      </c>
      <c r="H33" s="245">
        <f>G33*(1-'Dealer Inputs'!$D$22)*(1-'Dealer Inputs'!$H$22)*(1-'Dealer Inputs'!L$22)</f>
        <v>148.05</v>
      </c>
      <c r="I33" s="253">
        <v>329</v>
      </c>
      <c r="J33" s="254">
        <f>SUM(C33*$G33)</f>
        <v>0</v>
      </c>
      <c r="K33" s="254">
        <f>SUM(D33*$G33)</f>
        <v>0</v>
      </c>
      <c r="L33" s="254">
        <f>SUM(E33*$G33)</f>
        <v>0</v>
      </c>
      <c r="M33" s="254">
        <f>SUM(C33*$H33)</f>
        <v>0</v>
      </c>
      <c r="N33" s="254">
        <f>SUM(D33*$H33)</f>
        <v>0</v>
      </c>
      <c r="O33" s="254">
        <f>SUM(E33*$H33)</f>
        <v>0</v>
      </c>
      <c r="P33" s="247">
        <f t="shared" si="17"/>
        <v>0</v>
      </c>
    </row>
    <row r="34" spans="1:16" ht="12.75">
      <c r="A34" s="656"/>
      <c r="B34" s="656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</row>
    <row r="37" ht="12.75" customHeight="1"/>
    <row r="39" ht="6.75" customHeight="1"/>
    <row r="40" ht="11.25" customHeight="1"/>
    <row r="43" ht="12" customHeight="1"/>
    <row r="44" ht="6.75" customHeight="1"/>
    <row r="45" ht="12" customHeight="1"/>
    <row r="46" ht="12" customHeight="1"/>
    <row r="47" ht="12" customHeight="1"/>
    <row r="48" ht="12.75" customHeight="1"/>
    <row r="49" ht="6.75" customHeight="1"/>
    <row r="50" ht="12.75" customHeight="1"/>
    <row r="53" ht="12.75" customHeight="1"/>
    <row r="54" ht="6.75" customHeight="1"/>
    <row r="55" ht="13.5" customHeight="1"/>
    <row r="57" ht="12.75" customHeight="1"/>
    <row r="59" ht="12.75" customHeight="1"/>
    <row r="60" ht="6.75" customHeight="1"/>
    <row r="61" ht="12" customHeight="1"/>
    <row r="62" ht="12" customHeight="1"/>
    <row r="63" ht="12.75" customHeight="1"/>
    <row r="64" ht="6.75" customHeight="1"/>
    <row r="66" ht="12.75" customHeight="1"/>
    <row r="69" ht="6.75" customHeight="1"/>
    <row r="71" ht="13.5" customHeight="1"/>
    <row r="72" ht="13.5" customHeight="1"/>
    <row r="74" ht="6.75" customHeight="1"/>
    <row r="77" ht="7.5" customHeight="1"/>
    <row r="79" ht="12.75" customHeight="1"/>
    <row r="82" ht="6.75" customHeight="1"/>
    <row r="85" ht="6.75" customHeight="1"/>
    <row r="89" ht="12.75" customHeight="1"/>
    <row r="90" ht="6.75" customHeight="1"/>
    <row r="91" ht="12.75" customHeight="1"/>
    <row r="92" ht="12.75" customHeight="1"/>
    <row r="93" ht="6.75" customHeight="1"/>
    <row r="96" ht="5.25" customHeight="1"/>
    <row r="99" ht="6" customHeight="1"/>
    <row r="103" ht="6.75" customHeight="1"/>
    <row r="107" ht="6" customHeight="1"/>
  </sheetData>
  <sheetProtection/>
  <mergeCells count="8">
    <mergeCell ref="A24:P24"/>
    <mergeCell ref="A27:P27"/>
    <mergeCell ref="A34:P34"/>
    <mergeCell ref="A2:P2"/>
    <mergeCell ref="A3:P3"/>
    <mergeCell ref="A4:P4"/>
    <mergeCell ref="A10:P10"/>
    <mergeCell ref="A17:P17"/>
  </mergeCells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showRowColHeaders="0" zoomScale="125" zoomScaleNormal="125" zoomScalePageLayoutView="0" workbookViewId="0" topLeftCell="A1">
      <selection activeCell="H1" sqref="H1:H16384"/>
    </sheetView>
  </sheetViews>
  <sheetFormatPr defaultColWidth="8.8515625" defaultRowHeight="12.75"/>
  <cols>
    <col min="1" max="1" width="9.8515625" style="0" bestFit="1" customWidth="1"/>
    <col min="2" max="2" width="26.28125" style="0" customWidth="1"/>
    <col min="3" max="3" width="7.140625" style="0" customWidth="1"/>
    <col min="4" max="4" width="7.421875" style="0" customWidth="1"/>
    <col min="5" max="5" width="6.8515625" style="0" customWidth="1"/>
    <col min="6" max="6" width="9.421875" style="0" customWidth="1"/>
    <col min="7" max="7" width="9.00390625" style="526" customWidth="1"/>
    <col min="8" max="8" width="11.00390625" style="0" hidden="1" customWidth="1"/>
    <col min="9" max="9" width="9.421875" style="0" customWidth="1"/>
    <col min="10" max="15" width="12.421875" style="0" hidden="1" customWidth="1"/>
    <col min="16" max="16" width="11.00390625" style="0" bestFit="1" customWidth="1"/>
  </cols>
  <sheetData>
    <row r="1" spans="1:18" s="231" customFormat="1" ht="12" customHeight="1">
      <c r="A1" s="264" t="s">
        <v>315</v>
      </c>
      <c r="B1" s="265" t="s">
        <v>316</v>
      </c>
      <c r="C1" s="266" t="s">
        <v>342</v>
      </c>
      <c r="D1" s="266" t="s">
        <v>343</v>
      </c>
      <c r="E1" s="266" t="s">
        <v>344</v>
      </c>
      <c r="F1" s="267" t="s">
        <v>345</v>
      </c>
      <c r="G1" s="522" t="s">
        <v>501</v>
      </c>
      <c r="H1" s="268" t="s">
        <v>473</v>
      </c>
      <c r="I1" s="269" t="s">
        <v>500</v>
      </c>
      <c r="J1" s="265" t="s">
        <v>464</v>
      </c>
      <c r="K1" s="265" t="s">
        <v>465</v>
      </c>
      <c r="L1" s="265" t="s">
        <v>466</v>
      </c>
      <c r="M1" s="265" t="s">
        <v>467</v>
      </c>
      <c r="N1" s="265" t="s">
        <v>468</v>
      </c>
      <c r="O1" s="265" t="s">
        <v>469</v>
      </c>
      <c r="P1" s="270" t="s">
        <v>318</v>
      </c>
      <c r="Q1" s="230"/>
      <c r="R1" s="230"/>
    </row>
    <row r="2" spans="1:16" ht="15.75" customHeight="1">
      <c r="A2" s="659" t="s">
        <v>77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</row>
    <row r="3" spans="1:16" ht="12" customHeight="1">
      <c r="A3" s="662" t="s">
        <v>78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4"/>
    </row>
    <row r="4" spans="1:16" ht="12.75" customHeight="1">
      <c r="A4" s="252">
        <v>2128050</v>
      </c>
      <c r="B4" s="193" t="s">
        <v>386</v>
      </c>
      <c r="C4" s="242"/>
      <c r="D4" s="242"/>
      <c r="E4" s="242"/>
      <c r="F4" s="243">
        <f aca="true" t="shared" si="0" ref="F4:F33">SUM(C4:E4)</f>
        <v>0</v>
      </c>
      <c r="G4" s="523">
        <f>SUM(I4*0.7)</f>
        <v>237.993</v>
      </c>
      <c r="H4" s="245">
        <f>G4*(1-'Dealer Inputs'!$D$22)*(1-'Dealer Inputs'!$H$22)*(1-'Dealer Inputs'!L$22)</f>
        <v>178.49475</v>
      </c>
      <c r="I4" s="191">
        <v>339.99</v>
      </c>
      <c r="J4" s="245">
        <f aca="true" t="shared" si="1" ref="J4:J32">SUM(C4*$G4)</f>
        <v>0</v>
      </c>
      <c r="K4" s="245">
        <f aca="true" t="shared" si="2" ref="K4:K32">SUM(D4*$G4)</f>
        <v>0</v>
      </c>
      <c r="L4" s="245">
        <f aca="true" t="shared" si="3" ref="L4:L32">SUM(E4*$G4)</f>
        <v>0</v>
      </c>
      <c r="M4" s="245">
        <f aca="true" t="shared" si="4" ref="M4:M33">SUM(C4*$H4)</f>
        <v>0</v>
      </c>
      <c r="N4" s="245">
        <f aca="true" t="shared" si="5" ref="N4:N33">SUM(D4*$H4)</f>
        <v>0</v>
      </c>
      <c r="O4" s="245">
        <f aca="true" t="shared" si="6" ref="O4:O33">SUM(E4*$H4)</f>
        <v>0</v>
      </c>
      <c r="P4" s="247">
        <f aca="true" t="shared" si="7" ref="P4:P33">H4*F4</f>
        <v>0</v>
      </c>
    </row>
    <row r="5" spans="1:16" ht="12.75">
      <c r="A5" s="271">
        <v>2128052</v>
      </c>
      <c r="B5" s="193" t="s">
        <v>387</v>
      </c>
      <c r="C5" s="242"/>
      <c r="D5" s="242"/>
      <c r="E5" s="242"/>
      <c r="F5" s="243">
        <f t="shared" si="0"/>
        <v>0</v>
      </c>
      <c r="G5" s="523">
        <f>SUM(I5*0.7)</f>
        <v>237.993</v>
      </c>
      <c r="H5" s="245">
        <f>G5*(1-'Dealer Inputs'!$D$22)*(1-'Dealer Inputs'!$H$22)*(1-'Dealer Inputs'!L$22)</f>
        <v>178.49475</v>
      </c>
      <c r="I5" s="191">
        <v>339.99</v>
      </c>
      <c r="J5" s="245">
        <f t="shared" si="1"/>
        <v>0</v>
      </c>
      <c r="K5" s="245">
        <f t="shared" si="2"/>
        <v>0</v>
      </c>
      <c r="L5" s="245">
        <f t="shared" si="3"/>
        <v>0</v>
      </c>
      <c r="M5" s="245">
        <f t="shared" si="4"/>
        <v>0</v>
      </c>
      <c r="N5" s="245">
        <f t="shared" si="5"/>
        <v>0</v>
      </c>
      <c r="O5" s="245">
        <f t="shared" si="6"/>
        <v>0</v>
      </c>
      <c r="P5" s="247">
        <f t="shared" si="7"/>
        <v>0</v>
      </c>
    </row>
    <row r="6" spans="1:16" ht="13.5" customHeight="1">
      <c r="A6" s="271">
        <v>2128054</v>
      </c>
      <c r="B6" s="190" t="s">
        <v>388</v>
      </c>
      <c r="C6" s="242"/>
      <c r="D6" s="242"/>
      <c r="E6" s="242"/>
      <c r="F6" s="243">
        <f t="shared" si="0"/>
        <v>0</v>
      </c>
      <c r="G6" s="523">
        <f aca="true" t="shared" si="8" ref="G6:G27">SUM(I6*0.6)</f>
        <v>299.99399999999997</v>
      </c>
      <c r="H6" s="245">
        <f>G6*(1-'Dealer Inputs'!$D$22)*(1-'Dealer Inputs'!$H$22)*(1-'Dealer Inputs'!L$22)</f>
        <v>224.9955</v>
      </c>
      <c r="I6" s="191">
        <v>499.99</v>
      </c>
      <c r="J6" s="245">
        <f t="shared" si="1"/>
        <v>0</v>
      </c>
      <c r="K6" s="245">
        <f t="shared" si="2"/>
        <v>0</v>
      </c>
      <c r="L6" s="245">
        <f t="shared" si="3"/>
        <v>0</v>
      </c>
      <c r="M6" s="245">
        <f t="shared" si="4"/>
        <v>0</v>
      </c>
      <c r="N6" s="245">
        <f t="shared" si="5"/>
        <v>0</v>
      </c>
      <c r="O6" s="245">
        <f t="shared" si="6"/>
        <v>0</v>
      </c>
      <c r="P6" s="247">
        <f t="shared" si="7"/>
        <v>0</v>
      </c>
    </row>
    <row r="7" spans="1:16" ht="13.5" customHeight="1">
      <c r="A7" s="271">
        <v>2128056</v>
      </c>
      <c r="B7" s="190" t="s">
        <v>389</v>
      </c>
      <c r="C7" s="242"/>
      <c r="D7" s="242"/>
      <c r="E7" s="242"/>
      <c r="F7" s="243">
        <f t="shared" si="0"/>
        <v>0</v>
      </c>
      <c r="G7" s="523">
        <f t="shared" si="8"/>
        <v>299.99399999999997</v>
      </c>
      <c r="H7" s="245">
        <f>G7*(1-'Dealer Inputs'!$D$22)*(1-'Dealer Inputs'!$H$22)*(1-'Dealer Inputs'!L$22)</f>
        <v>224.9955</v>
      </c>
      <c r="I7" s="191">
        <v>499.99</v>
      </c>
      <c r="J7" s="245">
        <f t="shared" si="1"/>
        <v>0</v>
      </c>
      <c r="K7" s="245">
        <f t="shared" si="2"/>
        <v>0</v>
      </c>
      <c r="L7" s="245">
        <f t="shared" si="3"/>
        <v>0</v>
      </c>
      <c r="M7" s="245">
        <f t="shared" si="4"/>
        <v>0</v>
      </c>
      <c r="N7" s="245">
        <f t="shared" si="5"/>
        <v>0</v>
      </c>
      <c r="O7" s="245">
        <f t="shared" si="6"/>
        <v>0</v>
      </c>
      <c r="P7" s="247">
        <f t="shared" si="7"/>
        <v>0</v>
      </c>
    </row>
    <row r="8" spans="1:16" ht="12.75">
      <c r="A8" s="271">
        <v>2128058</v>
      </c>
      <c r="B8" s="190" t="s">
        <v>390</v>
      </c>
      <c r="C8" s="242"/>
      <c r="D8" s="242"/>
      <c r="E8" s="242"/>
      <c r="F8" s="243">
        <f t="shared" si="0"/>
        <v>0</v>
      </c>
      <c r="G8" s="523">
        <f t="shared" si="8"/>
        <v>299.99399999999997</v>
      </c>
      <c r="H8" s="245">
        <f>G8*(1-'Dealer Inputs'!$D$22)*(1-'Dealer Inputs'!$H$22)*(1-'Dealer Inputs'!L$22)</f>
        <v>224.9955</v>
      </c>
      <c r="I8" s="191">
        <v>499.99</v>
      </c>
      <c r="J8" s="245">
        <f t="shared" si="1"/>
        <v>0</v>
      </c>
      <c r="K8" s="245">
        <f t="shared" si="2"/>
        <v>0</v>
      </c>
      <c r="L8" s="245">
        <f t="shared" si="3"/>
        <v>0</v>
      </c>
      <c r="M8" s="245">
        <f t="shared" si="4"/>
        <v>0</v>
      </c>
      <c r="N8" s="245">
        <f t="shared" si="5"/>
        <v>0</v>
      </c>
      <c r="O8" s="245">
        <f t="shared" si="6"/>
        <v>0</v>
      </c>
      <c r="P8" s="247">
        <f t="shared" si="7"/>
        <v>0</v>
      </c>
    </row>
    <row r="9" spans="1:16" ht="12.75">
      <c r="A9" s="271">
        <v>2128060</v>
      </c>
      <c r="B9" s="193" t="s">
        <v>409</v>
      </c>
      <c r="C9" s="242"/>
      <c r="D9" s="242"/>
      <c r="E9" s="242"/>
      <c r="F9" s="243">
        <f t="shared" si="0"/>
        <v>0</v>
      </c>
      <c r="G9" s="523">
        <f t="shared" si="8"/>
        <v>359.99399999999997</v>
      </c>
      <c r="H9" s="245">
        <f>G9*(1-'Dealer Inputs'!$D$22)*(1-'Dealer Inputs'!$H$22)*(1-'Dealer Inputs'!L$22)</f>
        <v>269.9955</v>
      </c>
      <c r="I9" s="192">
        <v>599.99</v>
      </c>
      <c r="J9" s="245">
        <f t="shared" si="1"/>
        <v>0</v>
      </c>
      <c r="K9" s="245">
        <f t="shared" si="2"/>
        <v>0</v>
      </c>
      <c r="L9" s="245">
        <f t="shared" si="3"/>
        <v>0</v>
      </c>
      <c r="M9" s="245">
        <f t="shared" si="4"/>
        <v>0</v>
      </c>
      <c r="N9" s="245">
        <f t="shared" si="5"/>
        <v>0</v>
      </c>
      <c r="O9" s="245">
        <f t="shared" si="6"/>
        <v>0</v>
      </c>
      <c r="P9" s="247">
        <f t="shared" si="7"/>
        <v>0</v>
      </c>
    </row>
    <row r="10" spans="1:16" ht="12.75">
      <c r="A10" s="271">
        <v>2128062</v>
      </c>
      <c r="B10" s="193" t="s">
        <v>410</v>
      </c>
      <c r="C10" s="242"/>
      <c r="D10" s="242"/>
      <c r="E10" s="242"/>
      <c r="F10" s="243">
        <f t="shared" si="0"/>
        <v>0</v>
      </c>
      <c r="G10" s="523">
        <f t="shared" si="8"/>
        <v>359.99399999999997</v>
      </c>
      <c r="H10" s="245">
        <f>G10*(1-'Dealer Inputs'!$D$22)*(1-'Dealer Inputs'!$H$22)*(1-'Dealer Inputs'!L$22)</f>
        <v>269.9955</v>
      </c>
      <c r="I10" s="192">
        <v>599.99</v>
      </c>
      <c r="J10" s="245"/>
      <c r="K10" s="245"/>
      <c r="L10" s="245"/>
      <c r="M10" s="245"/>
      <c r="N10" s="245"/>
      <c r="O10" s="245"/>
      <c r="P10" s="247">
        <f t="shared" si="7"/>
        <v>0</v>
      </c>
    </row>
    <row r="11" spans="1:16" ht="12.75">
      <c r="A11" s="271">
        <v>2128064</v>
      </c>
      <c r="B11" s="193" t="s">
        <v>411</v>
      </c>
      <c r="C11" s="242"/>
      <c r="D11" s="242"/>
      <c r="E11" s="242"/>
      <c r="F11" s="243">
        <f t="shared" si="0"/>
        <v>0</v>
      </c>
      <c r="G11" s="523">
        <f t="shared" si="8"/>
        <v>359.99399999999997</v>
      </c>
      <c r="H11" s="245">
        <f>G11*(1-'Dealer Inputs'!$D$22)*(1-'Dealer Inputs'!$H$22)*(1-'Dealer Inputs'!L$22)</f>
        <v>269.9955</v>
      </c>
      <c r="I11" s="192">
        <v>599.99</v>
      </c>
      <c r="J11" s="245">
        <f t="shared" si="1"/>
        <v>0</v>
      </c>
      <c r="K11" s="245">
        <f t="shared" si="2"/>
        <v>0</v>
      </c>
      <c r="L11" s="245">
        <f t="shared" si="3"/>
        <v>0</v>
      </c>
      <c r="M11" s="245">
        <f t="shared" si="4"/>
        <v>0</v>
      </c>
      <c r="N11" s="245">
        <f t="shared" si="5"/>
        <v>0</v>
      </c>
      <c r="O11" s="245">
        <f t="shared" si="6"/>
        <v>0</v>
      </c>
      <c r="P11" s="247">
        <f t="shared" si="7"/>
        <v>0</v>
      </c>
    </row>
    <row r="12" spans="1:16" ht="12.75">
      <c r="A12" s="271">
        <v>2128066</v>
      </c>
      <c r="B12" s="193" t="s">
        <v>412</v>
      </c>
      <c r="C12" s="242"/>
      <c r="D12" s="242"/>
      <c r="E12" s="242"/>
      <c r="F12" s="243">
        <f t="shared" si="0"/>
        <v>0</v>
      </c>
      <c r="G12" s="523">
        <f t="shared" si="8"/>
        <v>359.99399999999997</v>
      </c>
      <c r="H12" s="245">
        <f>G12*(1-'Dealer Inputs'!$D$22)*(1-'Dealer Inputs'!$H$22)*(1-'Dealer Inputs'!L$22)</f>
        <v>269.9955</v>
      </c>
      <c r="I12" s="192">
        <v>599.99</v>
      </c>
      <c r="J12" s="245">
        <f t="shared" si="1"/>
        <v>0</v>
      </c>
      <c r="K12" s="245">
        <f t="shared" si="2"/>
        <v>0</v>
      </c>
      <c r="L12" s="245">
        <f t="shared" si="3"/>
        <v>0</v>
      </c>
      <c r="M12" s="245">
        <f t="shared" si="4"/>
        <v>0</v>
      </c>
      <c r="N12" s="245">
        <f t="shared" si="5"/>
        <v>0</v>
      </c>
      <c r="O12" s="245">
        <f t="shared" si="6"/>
        <v>0</v>
      </c>
      <c r="P12" s="247">
        <f t="shared" si="7"/>
        <v>0</v>
      </c>
    </row>
    <row r="13" spans="1:16" ht="13.5" customHeight="1">
      <c r="A13" s="271">
        <v>2128068</v>
      </c>
      <c r="B13" s="190" t="s">
        <v>413</v>
      </c>
      <c r="C13" s="242"/>
      <c r="D13" s="242"/>
      <c r="E13" s="242"/>
      <c r="F13" s="243">
        <f t="shared" si="0"/>
        <v>0</v>
      </c>
      <c r="G13" s="523">
        <f t="shared" si="8"/>
        <v>359.99399999999997</v>
      </c>
      <c r="H13" s="245">
        <f>G13*(1-'Dealer Inputs'!$D$22)*(1-'Dealer Inputs'!$H$22)*(1-'Dealer Inputs'!L$22)</f>
        <v>269.9955</v>
      </c>
      <c r="I13" s="192">
        <v>599.99</v>
      </c>
      <c r="J13" s="245">
        <f t="shared" si="1"/>
        <v>0</v>
      </c>
      <c r="K13" s="245">
        <f t="shared" si="2"/>
        <v>0</v>
      </c>
      <c r="L13" s="245">
        <f t="shared" si="3"/>
        <v>0</v>
      </c>
      <c r="M13" s="245">
        <f t="shared" si="4"/>
        <v>0</v>
      </c>
      <c r="N13" s="245">
        <f t="shared" si="5"/>
        <v>0</v>
      </c>
      <c r="O13" s="245">
        <f t="shared" si="6"/>
        <v>0</v>
      </c>
      <c r="P13" s="247">
        <f t="shared" si="7"/>
        <v>0</v>
      </c>
    </row>
    <row r="14" spans="1:16" ht="12.75">
      <c r="A14" s="271">
        <v>2128070</v>
      </c>
      <c r="B14" s="190" t="s">
        <v>414</v>
      </c>
      <c r="C14" s="242"/>
      <c r="D14" s="242"/>
      <c r="E14" s="242"/>
      <c r="F14" s="243">
        <f t="shared" si="0"/>
        <v>0</v>
      </c>
      <c r="G14" s="523">
        <f t="shared" si="8"/>
        <v>359.99399999999997</v>
      </c>
      <c r="H14" s="245">
        <f>G14*(1-'Dealer Inputs'!$D$22)*(1-'Dealer Inputs'!$H$22)*(1-'Dealer Inputs'!L$22)</f>
        <v>269.9955</v>
      </c>
      <c r="I14" s="192">
        <v>599.99</v>
      </c>
      <c r="J14" s="245">
        <f t="shared" si="1"/>
        <v>0</v>
      </c>
      <c r="K14" s="245">
        <f t="shared" si="2"/>
        <v>0</v>
      </c>
      <c r="L14" s="245">
        <f t="shared" si="3"/>
        <v>0</v>
      </c>
      <c r="M14" s="245">
        <f t="shared" si="4"/>
        <v>0</v>
      </c>
      <c r="N14" s="245">
        <f t="shared" si="5"/>
        <v>0</v>
      </c>
      <c r="O14" s="245">
        <f t="shared" si="6"/>
        <v>0</v>
      </c>
      <c r="P14" s="247">
        <f t="shared" si="7"/>
        <v>0</v>
      </c>
    </row>
    <row r="15" spans="1:16" ht="12.75">
      <c r="A15" s="271">
        <v>2128072</v>
      </c>
      <c r="B15" s="190" t="s">
        <v>415</v>
      </c>
      <c r="C15" s="242"/>
      <c r="D15" s="242"/>
      <c r="E15" s="242"/>
      <c r="F15" s="243">
        <f t="shared" si="0"/>
        <v>0</v>
      </c>
      <c r="G15" s="523">
        <f t="shared" si="8"/>
        <v>419.4</v>
      </c>
      <c r="H15" s="245">
        <f>G15*(1-'Dealer Inputs'!$D$22)*(1-'Dealer Inputs'!$H$22)*(1-'Dealer Inputs'!L$22)</f>
        <v>314.54999999999995</v>
      </c>
      <c r="I15" s="191">
        <v>699</v>
      </c>
      <c r="J15" s="245">
        <f t="shared" si="1"/>
        <v>0</v>
      </c>
      <c r="K15" s="245">
        <f t="shared" si="2"/>
        <v>0</v>
      </c>
      <c r="L15" s="245">
        <f t="shared" si="3"/>
        <v>0</v>
      </c>
      <c r="M15" s="245">
        <f t="shared" si="4"/>
        <v>0</v>
      </c>
      <c r="N15" s="245">
        <f t="shared" si="5"/>
        <v>0</v>
      </c>
      <c r="O15" s="245">
        <f t="shared" si="6"/>
        <v>0</v>
      </c>
      <c r="P15" s="247">
        <f t="shared" si="7"/>
        <v>0</v>
      </c>
    </row>
    <row r="16" spans="1:16" ht="12.75">
      <c r="A16" s="271">
        <v>2128074</v>
      </c>
      <c r="B16" s="190" t="s">
        <v>416</v>
      </c>
      <c r="C16" s="242"/>
      <c r="D16" s="242"/>
      <c r="E16" s="242"/>
      <c r="F16" s="243">
        <f t="shared" si="0"/>
        <v>0</v>
      </c>
      <c r="G16" s="523">
        <f t="shared" si="8"/>
        <v>419.4</v>
      </c>
      <c r="H16" s="245">
        <f>G16*(1-'Dealer Inputs'!$D$22)*(1-'Dealer Inputs'!$H$22)*(1-'Dealer Inputs'!L$22)</f>
        <v>314.54999999999995</v>
      </c>
      <c r="I16" s="191">
        <v>699</v>
      </c>
      <c r="J16" s="245">
        <f t="shared" si="1"/>
        <v>0</v>
      </c>
      <c r="K16" s="245">
        <f t="shared" si="2"/>
        <v>0</v>
      </c>
      <c r="L16" s="245">
        <f t="shared" si="3"/>
        <v>0</v>
      </c>
      <c r="M16" s="245">
        <f t="shared" si="4"/>
        <v>0</v>
      </c>
      <c r="N16" s="245">
        <f t="shared" si="5"/>
        <v>0</v>
      </c>
      <c r="O16" s="245">
        <f t="shared" si="6"/>
        <v>0</v>
      </c>
      <c r="P16" s="247">
        <f t="shared" si="7"/>
        <v>0</v>
      </c>
    </row>
    <row r="17" spans="1:16" ht="12.75">
      <c r="A17" s="271">
        <v>2128076</v>
      </c>
      <c r="B17" s="190" t="s">
        <v>417</v>
      </c>
      <c r="C17" s="242"/>
      <c r="D17" s="242"/>
      <c r="E17" s="242"/>
      <c r="F17" s="243">
        <f t="shared" si="0"/>
        <v>0</v>
      </c>
      <c r="G17" s="523">
        <f t="shared" si="8"/>
        <v>419.4</v>
      </c>
      <c r="H17" s="245">
        <f>G17*(1-'Dealer Inputs'!$D$22)*(1-'Dealer Inputs'!$H$22)*(1-'Dealer Inputs'!L$22)</f>
        <v>314.54999999999995</v>
      </c>
      <c r="I17" s="191">
        <v>699</v>
      </c>
      <c r="J17" s="245"/>
      <c r="K17" s="245"/>
      <c r="L17" s="245"/>
      <c r="M17" s="245"/>
      <c r="N17" s="245"/>
      <c r="O17" s="245"/>
      <c r="P17" s="247">
        <f t="shared" si="7"/>
        <v>0</v>
      </c>
    </row>
    <row r="18" spans="1:16" ht="12.75">
      <c r="A18" s="271">
        <v>2128078</v>
      </c>
      <c r="B18" s="190" t="s">
        <v>418</v>
      </c>
      <c r="C18" s="242"/>
      <c r="D18" s="242"/>
      <c r="E18" s="242"/>
      <c r="F18" s="243">
        <f t="shared" si="0"/>
        <v>0</v>
      </c>
      <c r="G18" s="523">
        <f t="shared" si="8"/>
        <v>419.99399999999997</v>
      </c>
      <c r="H18" s="245">
        <f>G18*(1-'Dealer Inputs'!$D$22)*(1-'Dealer Inputs'!$H$22)*(1-'Dealer Inputs'!L$22)</f>
        <v>314.9955</v>
      </c>
      <c r="I18" s="191">
        <v>699.99</v>
      </c>
      <c r="J18" s="245">
        <f t="shared" si="1"/>
        <v>0</v>
      </c>
      <c r="K18" s="245">
        <f t="shared" si="2"/>
        <v>0</v>
      </c>
      <c r="L18" s="245">
        <f t="shared" si="3"/>
        <v>0</v>
      </c>
      <c r="M18" s="245">
        <f t="shared" si="4"/>
        <v>0</v>
      </c>
      <c r="N18" s="245">
        <f t="shared" si="5"/>
        <v>0</v>
      </c>
      <c r="O18" s="245">
        <f t="shared" si="6"/>
        <v>0</v>
      </c>
      <c r="P18" s="247">
        <f t="shared" si="7"/>
        <v>0</v>
      </c>
    </row>
    <row r="19" spans="1:16" ht="12.75">
      <c r="A19" s="271">
        <v>2128080</v>
      </c>
      <c r="B19" s="190" t="s">
        <v>419</v>
      </c>
      <c r="C19" s="242"/>
      <c r="D19" s="242"/>
      <c r="E19" s="242"/>
      <c r="F19" s="243">
        <f t="shared" si="0"/>
        <v>0</v>
      </c>
      <c r="G19" s="523">
        <f t="shared" si="8"/>
        <v>419.99399999999997</v>
      </c>
      <c r="H19" s="245">
        <f>G19*(1-'Dealer Inputs'!$D$22)*(1-'Dealer Inputs'!$H$22)*(1-'Dealer Inputs'!L$22)</f>
        <v>314.9955</v>
      </c>
      <c r="I19" s="191">
        <v>699.99</v>
      </c>
      <c r="J19" s="245">
        <f t="shared" si="1"/>
        <v>0</v>
      </c>
      <c r="K19" s="245">
        <f t="shared" si="2"/>
        <v>0</v>
      </c>
      <c r="L19" s="245">
        <f t="shared" si="3"/>
        <v>0</v>
      </c>
      <c r="M19" s="245">
        <f t="shared" si="4"/>
        <v>0</v>
      </c>
      <c r="N19" s="245">
        <f t="shared" si="5"/>
        <v>0</v>
      </c>
      <c r="O19" s="245">
        <f t="shared" si="6"/>
        <v>0</v>
      </c>
      <c r="P19" s="247">
        <f t="shared" si="7"/>
        <v>0</v>
      </c>
    </row>
    <row r="20" spans="1:16" ht="12.75">
      <c r="A20" s="271">
        <v>2128082</v>
      </c>
      <c r="B20" s="190" t="s">
        <v>420</v>
      </c>
      <c r="C20" s="242"/>
      <c r="D20" s="242"/>
      <c r="E20" s="242"/>
      <c r="F20" s="243">
        <f t="shared" si="0"/>
        <v>0</v>
      </c>
      <c r="G20" s="523">
        <f t="shared" si="8"/>
        <v>419.99399999999997</v>
      </c>
      <c r="H20" s="245">
        <f>G20*(1-'Dealer Inputs'!$D$22)*(1-'Dealer Inputs'!$H$22)*(1-'Dealer Inputs'!L$22)</f>
        <v>314.9955</v>
      </c>
      <c r="I20" s="191">
        <v>699.99</v>
      </c>
      <c r="J20" s="245">
        <f t="shared" si="1"/>
        <v>0</v>
      </c>
      <c r="K20" s="245">
        <f t="shared" si="2"/>
        <v>0</v>
      </c>
      <c r="L20" s="245">
        <f t="shared" si="3"/>
        <v>0</v>
      </c>
      <c r="M20" s="245">
        <f t="shared" si="4"/>
        <v>0</v>
      </c>
      <c r="N20" s="245">
        <f t="shared" si="5"/>
        <v>0</v>
      </c>
      <c r="O20" s="245">
        <f t="shared" si="6"/>
        <v>0</v>
      </c>
      <c r="P20" s="247">
        <f t="shared" si="7"/>
        <v>0</v>
      </c>
    </row>
    <row r="21" spans="1:16" ht="12.75">
      <c r="A21" s="271">
        <v>2128084</v>
      </c>
      <c r="B21" s="193" t="s">
        <v>421</v>
      </c>
      <c r="C21" s="242"/>
      <c r="D21" s="242"/>
      <c r="E21" s="242"/>
      <c r="F21" s="243">
        <f t="shared" si="0"/>
        <v>0</v>
      </c>
      <c r="G21" s="523">
        <f t="shared" si="8"/>
        <v>449.99399999999997</v>
      </c>
      <c r="H21" s="245">
        <f>G21*(1-'Dealer Inputs'!$D$22)*(1-'Dealer Inputs'!$H$22)*(1-'Dealer Inputs'!L$22)</f>
        <v>337.4955</v>
      </c>
      <c r="I21" s="192">
        <v>749.99</v>
      </c>
      <c r="J21" s="245">
        <f t="shared" si="1"/>
        <v>0</v>
      </c>
      <c r="K21" s="245">
        <f t="shared" si="2"/>
        <v>0</v>
      </c>
      <c r="L21" s="245">
        <f t="shared" si="3"/>
        <v>0</v>
      </c>
      <c r="M21" s="245">
        <f t="shared" si="4"/>
        <v>0</v>
      </c>
      <c r="N21" s="245">
        <f t="shared" si="5"/>
        <v>0</v>
      </c>
      <c r="O21" s="245">
        <f t="shared" si="6"/>
        <v>0</v>
      </c>
      <c r="P21" s="247">
        <f t="shared" si="7"/>
        <v>0</v>
      </c>
    </row>
    <row r="22" spans="1:16" ht="12.75" customHeight="1">
      <c r="A22" s="271">
        <v>2128086</v>
      </c>
      <c r="B22" s="193" t="s">
        <v>422</v>
      </c>
      <c r="C22" s="242"/>
      <c r="D22" s="242"/>
      <c r="E22" s="242"/>
      <c r="F22" s="243">
        <f t="shared" si="0"/>
        <v>0</v>
      </c>
      <c r="G22" s="523">
        <f t="shared" si="8"/>
        <v>449.99399999999997</v>
      </c>
      <c r="H22" s="245">
        <f>G22*(1-'Dealer Inputs'!$D$22)*(1-'Dealer Inputs'!$H$22)*(1-'Dealer Inputs'!L$22)</f>
        <v>337.4955</v>
      </c>
      <c r="I22" s="192">
        <v>749.99</v>
      </c>
      <c r="J22" s="245">
        <f t="shared" si="1"/>
        <v>0</v>
      </c>
      <c r="K22" s="245">
        <f t="shared" si="2"/>
        <v>0</v>
      </c>
      <c r="L22" s="245">
        <f t="shared" si="3"/>
        <v>0</v>
      </c>
      <c r="M22" s="245">
        <f t="shared" si="4"/>
        <v>0</v>
      </c>
      <c r="N22" s="245">
        <f t="shared" si="5"/>
        <v>0</v>
      </c>
      <c r="O22" s="245">
        <f t="shared" si="6"/>
        <v>0</v>
      </c>
      <c r="P22" s="247">
        <f t="shared" si="7"/>
        <v>0</v>
      </c>
    </row>
    <row r="23" spans="1:16" ht="13.5" customHeight="1">
      <c r="A23" s="271">
        <v>2128088</v>
      </c>
      <c r="B23" s="193" t="s">
        <v>423</v>
      </c>
      <c r="C23" s="242"/>
      <c r="D23" s="242"/>
      <c r="E23" s="242"/>
      <c r="F23" s="243">
        <f t="shared" si="0"/>
        <v>0</v>
      </c>
      <c r="G23" s="523">
        <f t="shared" si="8"/>
        <v>449.99399999999997</v>
      </c>
      <c r="H23" s="245">
        <f>G23*(1-'Dealer Inputs'!$D$22)*(1-'Dealer Inputs'!$H$22)*(1-'Dealer Inputs'!L$22)</f>
        <v>337.4955</v>
      </c>
      <c r="I23" s="192">
        <v>749.99</v>
      </c>
      <c r="J23" s="245">
        <f t="shared" si="1"/>
        <v>0</v>
      </c>
      <c r="K23" s="245">
        <f t="shared" si="2"/>
        <v>0</v>
      </c>
      <c r="L23" s="245">
        <f t="shared" si="3"/>
        <v>0</v>
      </c>
      <c r="M23" s="245">
        <f t="shared" si="4"/>
        <v>0</v>
      </c>
      <c r="N23" s="245">
        <f t="shared" si="5"/>
        <v>0</v>
      </c>
      <c r="O23" s="245">
        <f t="shared" si="6"/>
        <v>0</v>
      </c>
      <c r="P23" s="247">
        <f t="shared" si="7"/>
        <v>0</v>
      </c>
    </row>
    <row r="24" spans="1:16" ht="18">
      <c r="A24" s="665" t="s">
        <v>79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7"/>
    </row>
    <row r="25" spans="1:16" ht="15.75" customHeight="1">
      <c r="A25" s="241">
        <v>2108082</v>
      </c>
      <c r="B25" s="193" t="s">
        <v>80</v>
      </c>
      <c r="C25" s="272"/>
      <c r="D25" s="242"/>
      <c r="E25" s="242"/>
      <c r="F25" s="243">
        <f t="shared" si="0"/>
        <v>0</v>
      </c>
      <c r="G25" s="523">
        <f t="shared" si="8"/>
        <v>179.994</v>
      </c>
      <c r="H25" s="245">
        <f>G25*(1-'Dealer Inputs'!$D$22)*(1-'Dealer Inputs'!$H$22)*(1-'Dealer Inputs'!L$22)</f>
        <v>134.9955</v>
      </c>
      <c r="I25" s="262">
        <v>299.99</v>
      </c>
      <c r="J25" s="273">
        <f t="shared" si="1"/>
        <v>0</v>
      </c>
      <c r="K25" s="273">
        <f t="shared" si="2"/>
        <v>0</v>
      </c>
      <c r="L25" s="273">
        <f t="shared" si="3"/>
        <v>0</v>
      </c>
      <c r="M25" s="273">
        <f t="shared" si="4"/>
        <v>0</v>
      </c>
      <c r="N25" s="273">
        <f t="shared" si="5"/>
        <v>0</v>
      </c>
      <c r="O25" s="273">
        <f t="shared" si="6"/>
        <v>0</v>
      </c>
      <c r="P25" s="274">
        <f t="shared" si="7"/>
        <v>0</v>
      </c>
    </row>
    <row r="26" spans="1:16" ht="14.25" customHeight="1">
      <c r="A26" s="271"/>
      <c r="B26" s="190" t="s">
        <v>81</v>
      </c>
      <c r="C26" s="272"/>
      <c r="D26" s="272"/>
      <c r="E26" s="272"/>
      <c r="F26" s="243">
        <f t="shared" si="0"/>
        <v>0</v>
      </c>
      <c r="G26" s="523">
        <f t="shared" si="8"/>
        <v>119.994</v>
      </c>
      <c r="H26" s="245">
        <f>G26*(1-'Dealer Inputs'!$D$22)*(1-'Dealer Inputs'!$H$22)*(1-'Dealer Inputs'!L$22)</f>
        <v>89.99549999999999</v>
      </c>
      <c r="I26" s="262">
        <v>199.99</v>
      </c>
      <c r="J26" s="273">
        <f t="shared" si="1"/>
        <v>0</v>
      </c>
      <c r="K26" s="273">
        <f t="shared" si="2"/>
        <v>0</v>
      </c>
      <c r="L26" s="273">
        <f t="shared" si="3"/>
        <v>0</v>
      </c>
      <c r="M26" s="273">
        <f t="shared" si="4"/>
        <v>0</v>
      </c>
      <c r="N26" s="273">
        <f t="shared" si="5"/>
        <v>0</v>
      </c>
      <c r="O26" s="273">
        <f t="shared" si="6"/>
        <v>0</v>
      </c>
      <c r="P26" s="274">
        <f t="shared" si="7"/>
        <v>0</v>
      </c>
    </row>
    <row r="27" spans="1:16" ht="13.5" customHeight="1">
      <c r="A27" s="275">
        <v>2118096</v>
      </c>
      <c r="B27" s="194" t="s">
        <v>82</v>
      </c>
      <c r="C27" s="276"/>
      <c r="D27" s="276"/>
      <c r="E27" s="276"/>
      <c r="F27" s="277">
        <f t="shared" si="0"/>
        <v>0</v>
      </c>
      <c r="G27" s="524">
        <f t="shared" si="8"/>
        <v>209.994</v>
      </c>
      <c r="H27" s="278">
        <f>G27*(1-'Dealer Inputs'!$D$22)*(1-'Dealer Inputs'!$H$22)*(1-'Dealer Inputs'!L$22)</f>
        <v>157.4955</v>
      </c>
      <c r="I27" s="279">
        <v>349.99</v>
      </c>
      <c r="J27" s="280">
        <f t="shared" si="1"/>
        <v>0</v>
      </c>
      <c r="K27" s="280">
        <f t="shared" si="2"/>
        <v>0</v>
      </c>
      <c r="L27" s="280">
        <f t="shared" si="3"/>
        <v>0</v>
      </c>
      <c r="M27" s="280">
        <f t="shared" si="4"/>
        <v>0</v>
      </c>
      <c r="N27" s="280">
        <f t="shared" si="5"/>
        <v>0</v>
      </c>
      <c r="O27" s="280">
        <f t="shared" si="6"/>
        <v>0</v>
      </c>
      <c r="P27" s="281">
        <f t="shared" si="7"/>
        <v>0</v>
      </c>
    </row>
    <row r="28" spans="1:16" ht="15.75" customHeight="1">
      <c r="A28" s="659" t="s">
        <v>83</v>
      </c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9"/>
    </row>
    <row r="29" spans="1:16" ht="12.75">
      <c r="A29" s="670" t="s">
        <v>176</v>
      </c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2"/>
    </row>
    <row r="30" spans="1:16" ht="13.5" customHeight="1">
      <c r="A30" s="282">
        <v>2128137</v>
      </c>
      <c r="B30" s="195" t="s">
        <v>424</v>
      </c>
      <c r="C30" s="283"/>
      <c r="D30" s="284"/>
      <c r="E30" s="284"/>
      <c r="F30" s="285">
        <f t="shared" si="0"/>
        <v>0</v>
      </c>
      <c r="G30" s="525">
        <f>SUM(I30*0.6875)</f>
        <v>584.368125</v>
      </c>
      <c r="H30" s="286">
        <f>G30*(1-'Dealer Inputs'!$D$22)*(1-'Dealer Inputs'!$H$22)*(1-'Dealer Inputs'!L$22)</f>
        <v>438.27609375</v>
      </c>
      <c r="I30" s="287">
        <v>849.99</v>
      </c>
      <c r="J30" s="288">
        <f t="shared" si="1"/>
        <v>0</v>
      </c>
      <c r="K30" s="288">
        <f t="shared" si="2"/>
        <v>0</v>
      </c>
      <c r="L30" s="288">
        <f t="shared" si="3"/>
        <v>0</v>
      </c>
      <c r="M30" s="288">
        <f t="shared" si="4"/>
        <v>0</v>
      </c>
      <c r="N30" s="288">
        <f t="shared" si="5"/>
        <v>0</v>
      </c>
      <c r="O30" s="288">
        <f t="shared" si="6"/>
        <v>0</v>
      </c>
      <c r="P30" s="289">
        <f t="shared" si="7"/>
        <v>0</v>
      </c>
    </row>
    <row r="31" spans="1:16" ht="13.5" customHeight="1">
      <c r="A31" s="248">
        <v>2128138</v>
      </c>
      <c r="B31" s="193" t="s">
        <v>425</v>
      </c>
      <c r="C31" s="272"/>
      <c r="D31" s="242"/>
      <c r="E31" s="242"/>
      <c r="F31" s="243">
        <f t="shared" si="0"/>
        <v>0</v>
      </c>
      <c r="G31" s="525">
        <f>SUM(I31*0.6875)</f>
        <v>549.993125</v>
      </c>
      <c r="H31" s="245">
        <f>G31*(1-'Dealer Inputs'!$D$22)*(1-'Dealer Inputs'!$H$22)*(1-'Dealer Inputs'!L$22)</f>
        <v>412.49484375</v>
      </c>
      <c r="I31" s="262">
        <v>799.99</v>
      </c>
      <c r="J31" s="273">
        <f t="shared" si="1"/>
        <v>0</v>
      </c>
      <c r="K31" s="273">
        <f t="shared" si="2"/>
        <v>0</v>
      </c>
      <c r="L31" s="273">
        <f t="shared" si="3"/>
        <v>0</v>
      </c>
      <c r="M31" s="273">
        <f t="shared" si="4"/>
        <v>0</v>
      </c>
      <c r="N31" s="273">
        <f t="shared" si="5"/>
        <v>0</v>
      </c>
      <c r="O31" s="273">
        <f t="shared" si="6"/>
        <v>0</v>
      </c>
      <c r="P31" s="274">
        <f t="shared" si="7"/>
        <v>0</v>
      </c>
    </row>
    <row r="32" spans="1:16" ht="12.75" customHeight="1">
      <c r="A32" s="248">
        <v>2128139</v>
      </c>
      <c r="B32" s="193" t="s">
        <v>426</v>
      </c>
      <c r="C32" s="272"/>
      <c r="D32" s="242"/>
      <c r="E32" s="242"/>
      <c r="F32" s="243">
        <f t="shared" si="0"/>
        <v>0</v>
      </c>
      <c r="G32" s="525">
        <f>SUM(I32*0.6875)</f>
        <v>549.993125</v>
      </c>
      <c r="H32" s="245">
        <f>G32*(1-'Dealer Inputs'!$D$22)*(1-'Dealer Inputs'!$H$22)*(1-'Dealer Inputs'!L$22)</f>
        <v>412.49484375</v>
      </c>
      <c r="I32" s="262">
        <v>799.99</v>
      </c>
      <c r="J32" s="273">
        <f t="shared" si="1"/>
        <v>0</v>
      </c>
      <c r="K32" s="273">
        <f t="shared" si="2"/>
        <v>0</v>
      </c>
      <c r="L32" s="273">
        <f t="shared" si="3"/>
        <v>0</v>
      </c>
      <c r="M32" s="273">
        <f t="shared" si="4"/>
        <v>0</v>
      </c>
      <c r="N32" s="273">
        <f t="shared" si="5"/>
        <v>0</v>
      </c>
      <c r="O32" s="273">
        <f t="shared" si="6"/>
        <v>0</v>
      </c>
      <c r="P32" s="274">
        <f t="shared" si="7"/>
        <v>0</v>
      </c>
    </row>
    <row r="33" spans="1:16" ht="12.75" customHeight="1">
      <c r="A33" s="248">
        <v>2128140</v>
      </c>
      <c r="B33" s="193" t="s">
        <v>427</v>
      </c>
      <c r="C33" s="272"/>
      <c r="D33" s="242"/>
      <c r="E33" s="242"/>
      <c r="F33" s="243">
        <f t="shared" si="0"/>
        <v>0</v>
      </c>
      <c r="G33" s="523">
        <f>SUM(I33*0.6875)</f>
        <v>549.993125</v>
      </c>
      <c r="H33" s="245">
        <f>G33*(1-'Dealer Inputs'!$D$22)*(1-'Dealer Inputs'!$H$22)*(1-'Dealer Inputs'!L$22)</f>
        <v>412.49484375</v>
      </c>
      <c r="I33" s="262">
        <v>799.99</v>
      </c>
      <c r="J33" s="273"/>
      <c r="K33" s="273"/>
      <c r="L33" s="273"/>
      <c r="M33" s="273">
        <f t="shared" si="4"/>
        <v>0</v>
      </c>
      <c r="N33" s="273">
        <f t="shared" si="5"/>
        <v>0</v>
      </c>
      <c r="O33" s="273">
        <f t="shared" si="6"/>
        <v>0</v>
      </c>
      <c r="P33" s="274">
        <f t="shared" si="7"/>
        <v>0</v>
      </c>
    </row>
    <row r="34" spans="1:16" ht="14.25" customHeight="1">
      <c r="A34" s="656"/>
      <c r="B34" s="656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</row>
    <row r="35" ht="12" customHeight="1"/>
    <row r="38" ht="12" customHeight="1"/>
    <row r="39" ht="12" customHeight="1"/>
    <row r="46" ht="6" customHeight="1"/>
    <row r="50" ht="6.75" customHeight="1"/>
    <row r="55" ht="6" customHeight="1"/>
    <row r="56" ht="12.75" customHeight="1"/>
    <row r="57" ht="12.75" customHeight="1"/>
    <row r="58" ht="12.75" customHeight="1"/>
    <row r="59" ht="12.75" customHeight="1"/>
    <row r="60" ht="6.75" customHeight="1"/>
    <row r="61" ht="13.5" customHeight="1"/>
    <row r="62" ht="13.5" customHeight="1"/>
    <row r="64" ht="6.75" customHeight="1"/>
    <row r="65" ht="11.25" customHeight="1"/>
    <row r="66" ht="11.25" customHeight="1"/>
    <row r="68" ht="6.75" customHeight="1"/>
    <row r="69" ht="12" customHeight="1"/>
    <row r="72" ht="6" customHeight="1"/>
    <row r="76" ht="6.75" customHeight="1"/>
    <row r="79" ht="6" customHeight="1"/>
    <row r="81" ht="6.75" customHeight="1"/>
  </sheetData>
  <sheetProtection/>
  <mergeCells count="6">
    <mergeCell ref="A34:P34"/>
    <mergeCell ref="A2:P2"/>
    <mergeCell ref="A3:P3"/>
    <mergeCell ref="A24:P24"/>
    <mergeCell ref="A28:P28"/>
    <mergeCell ref="A29:P29"/>
  </mergeCells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showGridLines="0" showRowColHeaders="0" zoomScale="125" zoomScaleNormal="125" zoomScalePageLayoutView="0" workbookViewId="0" topLeftCell="A1">
      <selection activeCell="R12" sqref="R12"/>
    </sheetView>
  </sheetViews>
  <sheetFormatPr defaultColWidth="8.8515625" defaultRowHeight="12.75"/>
  <cols>
    <col min="1" max="1" width="9.28125" style="0" bestFit="1" customWidth="1"/>
    <col min="2" max="2" width="31.00390625" style="0" customWidth="1"/>
    <col min="3" max="3" width="7.140625" style="0" customWidth="1"/>
    <col min="4" max="4" width="7.421875" style="0" customWidth="1"/>
    <col min="5" max="5" width="6.8515625" style="0" customWidth="1"/>
    <col min="6" max="6" width="9.421875" style="0" customWidth="1"/>
    <col min="7" max="7" width="9.00390625" style="526" customWidth="1"/>
    <col min="8" max="8" width="11.00390625" style="0" hidden="1" customWidth="1"/>
    <col min="9" max="9" width="10.28125" style="0" bestFit="1" customWidth="1"/>
    <col min="10" max="15" width="11.140625" style="0" hidden="1" customWidth="1"/>
    <col min="16" max="16" width="10.8515625" style="0" bestFit="1" customWidth="1"/>
  </cols>
  <sheetData>
    <row r="1" spans="1:18" s="231" customFormat="1" ht="15" customHeight="1">
      <c r="A1" s="224" t="s">
        <v>315</v>
      </c>
      <c r="B1" s="225" t="s">
        <v>316</v>
      </c>
      <c r="C1" s="226" t="s">
        <v>342</v>
      </c>
      <c r="D1" s="226" t="s">
        <v>343</v>
      </c>
      <c r="E1" s="226" t="s">
        <v>344</v>
      </c>
      <c r="F1" s="189" t="s">
        <v>345</v>
      </c>
      <c r="G1" s="527" t="s">
        <v>498</v>
      </c>
      <c r="H1" s="227" t="s">
        <v>473</v>
      </c>
      <c r="I1" s="228" t="s">
        <v>499</v>
      </c>
      <c r="J1" s="225" t="s">
        <v>464</v>
      </c>
      <c r="K1" s="225" t="s">
        <v>465</v>
      </c>
      <c r="L1" s="225" t="s">
        <v>466</v>
      </c>
      <c r="M1" s="225" t="s">
        <v>467</v>
      </c>
      <c r="N1" s="225" t="s">
        <v>468</v>
      </c>
      <c r="O1" s="225" t="s">
        <v>469</v>
      </c>
      <c r="P1" s="229" t="s">
        <v>318</v>
      </c>
      <c r="Q1" s="230"/>
      <c r="R1" s="230"/>
    </row>
    <row r="2" spans="1:16" ht="18" customHeight="1">
      <c r="A2" s="659" t="s">
        <v>212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</row>
    <row r="3" spans="1:16" ht="12" customHeight="1">
      <c r="A3" s="676" t="s">
        <v>213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8"/>
    </row>
    <row r="4" spans="1:16" ht="12.75">
      <c r="A4" s="241">
        <v>2128042</v>
      </c>
      <c r="B4" s="190" t="s">
        <v>214</v>
      </c>
      <c r="C4" s="242"/>
      <c r="D4" s="242"/>
      <c r="E4" s="242"/>
      <c r="F4" s="243">
        <f aca="true" t="shared" si="0" ref="F4:F32">SUM(C4:E4)</f>
        <v>0</v>
      </c>
      <c r="G4" s="523">
        <f>I4*0.6</f>
        <v>95.994</v>
      </c>
      <c r="H4" s="245">
        <f>G4*(1-'Dealer Inputs'!$D$22)*(1-'Dealer Inputs'!$H$22)*(1-'Dealer Inputs'!$L$22)</f>
        <v>71.99549999999999</v>
      </c>
      <c r="I4" s="246">
        <v>159.99</v>
      </c>
      <c r="J4" s="245">
        <f aca="true" t="shared" si="1" ref="J4:J32">SUM(C4*$G4)</f>
        <v>0</v>
      </c>
      <c r="K4" s="245">
        <f aca="true" t="shared" si="2" ref="K4:L17">SUM(D4*$G4)</f>
        <v>0</v>
      </c>
      <c r="L4" s="245">
        <f t="shared" si="2"/>
        <v>0</v>
      </c>
      <c r="M4" s="245">
        <f aca="true" t="shared" si="3" ref="M4:M32">SUM(C4*$H4)</f>
        <v>0</v>
      </c>
      <c r="N4" s="245">
        <f aca="true" t="shared" si="4" ref="N4:N32">SUM(D4*$H4)</f>
        <v>0</v>
      </c>
      <c r="O4" s="245">
        <f aca="true" t="shared" si="5" ref="O4:O32">SUM(E4*$H4)</f>
        <v>0</v>
      </c>
      <c r="P4" s="247">
        <f aca="true" t="shared" si="6" ref="P4:P32">H4*F4</f>
        <v>0</v>
      </c>
    </row>
    <row r="5" spans="1:16" ht="13.5" customHeight="1">
      <c r="A5" s="248">
        <v>2128043</v>
      </c>
      <c r="B5" s="190" t="s">
        <v>215</v>
      </c>
      <c r="C5" s="242"/>
      <c r="D5" s="242"/>
      <c r="E5" s="242"/>
      <c r="F5" s="243"/>
      <c r="G5" s="523">
        <f aca="true" t="shared" si="7" ref="G5:G32">I5*0.6</f>
        <v>95.994</v>
      </c>
      <c r="H5" s="245">
        <f>G5*(1-'Dealer Inputs'!$D$22)*(1-'Dealer Inputs'!$H$22)*(1-'Dealer Inputs'!$L$22)</f>
        <v>71.99549999999999</v>
      </c>
      <c r="I5" s="246">
        <v>159.99</v>
      </c>
      <c r="J5" s="245">
        <f t="shared" si="1"/>
        <v>0</v>
      </c>
      <c r="K5" s="245">
        <f t="shared" si="2"/>
        <v>0</v>
      </c>
      <c r="L5" s="245">
        <f t="shared" si="2"/>
        <v>0</v>
      </c>
      <c r="M5" s="245">
        <f t="shared" si="3"/>
        <v>0</v>
      </c>
      <c r="N5" s="245">
        <f t="shared" si="4"/>
        <v>0</v>
      </c>
      <c r="O5" s="245">
        <f t="shared" si="5"/>
        <v>0</v>
      </c>
      <c r="P5" s="247">
        <f t="shared" si="6"/>
        <v>0</v>
      </c>
    </row>
    <row r="6" spans="1:16" ht="6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12.75">
      <c r="A7" s="248">
        <v>2128044</v>
      </c>
      <c r="B7" s="190" t="s">
        <v>121</v>
      </c>
      <c r="C7" s="242"/>
      <c r="D7" s="242"/>
      <c r="E7" s="242"/>
      <c r="F7" s="243">
        <f t="shared" si="0"/>
        <v>0</v>
      </c>
      <c r="G7" s="523">
        <f t="shared" si="7"/>
        <v>107.994</v>
      </c>
      <c r="H7" s="245">
        <f>G7*(1-'Dealer Inputs'!$D$22)*(1-'Dealer Inputs'!$H$22)*(1-'Dealer Inputs'!$L$22)</f>
        <v>80.99549999999999</v>
      </c>
      <c r="I7" s="246">
        <v>179.99</v>
      </c>
      <c r="J7" s="245">
        <f t="shared" si="1"/>
        <v>0</v>
      </c>
      <c r="K7" s="245">
        <f t="shared" si="2"/>
        <v>0</v>
      </c>
      <c r="L7" s="245">
        <f t="shared" si="2"/>
        <v>0</v>
      </c>
      <c r="M7" s="245">
        <f t="shared" si="3"/>
        <v>0</v>
      </c>
      <c r="N7" s="245">
        <f t="shared" si="4"/>
        <v>0</v>
      </c>
      <c r="O7" s="245">
        <f t="shared" si="5"/>
        <v>0</v>
      </c>
      <c r="P7" s="247">
        <f t="shared" si="6"/>
        <v>0</v>
      </c>
    </row>
    <row r="8" spans="1:16" ht="12.75">
      <c r="A8" s="248">
        <v>2128045</v>
      </c>
      <c r="B8" s="190" t="s">
        <v>122</v>
      </c>
      <c r="C8" s="242"/>
      <c r="D8" s="242"/>
      <c r="E8" s="242"/>
      <c r="F8" s="243">
        <f t="shared" si="0"/>
        <v>0</v>
      </c>
      <c r="G8" s="523">
        <f t="shared" si="7"/>
        <v>107.994</v>
      </c>
      <c r="H8" s="245">
        <f>G8*(1-'Dealer Inputs'!$D$22)*(1-'Dealer Inputs'!$H$22)*(1-'Dealer Inputs'!$L$22)</f>
        <v>80.99549999999999</v>
      </c>
      <c r="I8" s="246">
        <v>179.99</v>
      </c>
      <c r="J8" s="245">
        <f t="shared" si="1"/>
        <v>0</v>
      </c>
      <c r="K8" s="245">
        <f t="shared" si="2"/>
        <v>0</v>
      </c>
      <c r="L8" s="245">
        <f t="shared" si="2"/>
        <v>0</v>
      </c>
      <c r="M8" s="245">
        <f t="shared" si="3"/>
        <v>0</v>
      </c>
      <c r="N8" s="245">
        <f t="shared" si="4"/>
        <v>0</v>
      </c>
      <c r="O8" s="245">
        <f t="shared" si="5"/>
        <v>0</v>
      </c>
      <c r="P8" s="247">
        <f t="shared" si="6"/>
        <v>0</v>
      </c>
    </row>
    <row r="9" spans="1:16" ht="6" customHeight="1">
      <c r="A9" s="673"/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</row>
    <row r="10" spans="1:16" ht="13.5" customHeight="1">
      <c r="A10" s="248">
        <v>2128046</v>
      </c>
      <c r="B10" s="190" t="s">
        <v>123</v>
      </c>
      <c r="C10" s="242"/>
      <c r="D10" s="242"/>
      <c r="E10" s="242"/>
      <c r="F10" s="243">
        <f>SUM(C10:E10)</f>
        <v>0</v>
      </c>
      <c r="G10" s="523">
        <f t="shared" si="7"/>
        <v>95.994</v>
      </c>
      <c r="H10" s="245">
        <f>G10*(1-'Dealer Inputs'!$D$22)*(1-'Dealer Inputs'!$H$22)*(1-'Dealer Inputs'!$L$22)</f>
        <v>71.99549999999999</v>
      </c>
      <c r="I10" s="246">
        <v>159.99</v>
      </c>
      <c r="J10" s="245">
        <f t="shared" si="1"/>
        <v>0</v>
      </c>
      <c r="K10" s="245">
        <f t="shared" si="2"/>
        <v>0</v>
      </c>
      <c r="L10" s="245">
        <f t="shared" si="2"/>
        <v>0</v>
      </c>
      <c r="M10" s="245">
        <f t="shared" si="3"/>
        <v>0</v>
      </c>
      <c r="N10" s="245">
        <f t="shared" si="4"/>
        <v>0</v>
      </c>
      <c r="O10" s="245">
        <f t="shared" si="5"/>
        <v>0</v>
      </c>
      <c r="P10" s="247">
        <f t="shared" si="6"/>
        <v>0</v>
      </c>
    </row>
    <row r="11" spans="1:16" ht="6.75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</row>
    <row r="12" spans="1:16" ht="12.75">
      <c r="A12" s="196">
        <v>2128004</v>
      </c>
      <c r="B12" s="190" t="s">
        <v>124</v>
      </c>
      <c r="C12" s="242"/>
      <c r="D12" s="242"/>
      <c r="E12" s="242"/>
      <c r="F12" s="243">
        <f>SUM(C12:E12)</f>
        <v>0</v>
      </c>
      <c r="G12" s="523">
        <f t="shared" si="7"/>
        <v>59.99399999999999</v>
      </c>
      <c r="H12" s="245">
        <f>G12*(1-'Dealer Inputs'!$D$22)*(1-'Dealer Inputs'!$H$22)*(1-'Dealer Inputs'!$L$22)</f>
        <v>44.99549999999999</v>
      </c>
      <c r="I12" s="249">
        <v>99.99</v>
      </c>
      <c r="J12" s="245"/>
      <c r="K12" s="245"/>
      <c r="L12" s="245"/>
      <c r="M12" s="245"/>
      <c r="N12" s="245"/>
      <c r="O12" s="245"/>
      <c r="P12" s="247">
        <f>H12*F12</f>
        <v>0</v>
      </c>
    </row>
    <row r="13" spans="1:16" ht="12.75">
      <c r="A13" s="679" t="s">
        <v>154</v>
      </c>
      <c r="B13" s="679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</row>
    <row r="14" spans="1:16" ht="12.75">
      <c r="A14" s="248">
        <v>2128117</v>
      </c>
      <c r="B14" s="197" t="s">
        <v>125</v>
      </c>
      <c r="C14" s="242"/>
      <c r="D14" s="242"/>
      <c r="E14" s="242"/>
      <c r="F14" s="243">
        <f t="shared" si="0"/>
        <v>0</v>
      </c>
      <c r="G14" s="523">
        <f t="shared" si="7"/>
        <v>107.994</v>
      </c>
      <c r="H14" s="245">
        <f>G14*(1-'Dealer Inputs'!$D$22)*(1-'Dealer Inputs'!$H$22)*(1-'Dealer Inputs'!$L$22)</f>
        <v>80.99549999999999</v>
      </c>
      <c r="I14" s="250">
        <v>179.99</v>
      </c>
      <c r="J14" s="245">
        <f t="shared" si="1"/>
        <v>0</v>
      </c>
      <c r="K14" s="245">
        <f t="shared" si="2"/>
        <v>0</v>
      </c>
      <c r="L14" s="245">
        <f t="shared" si="2"/>
        <v>0</v>
      </c>
      <c r="M14" s="245">
        <f t="shared" si="3"/>
        <v>0</v>
      </c>
      <c r="N14" s="245">
        <f t="shared" si="4"/>
        <v>0</v>
      </c>
      <c r="O14" s="245">
        <f t="shared" si="5"/>
        <v>0</v>
      </c>
      <c r="P14" s="247">
        <f t="shared" si="6"/>
        <v>0</v>
      </c>
    </row>
    <row r="15" spans="1:16" ht="6.75" customHeight="1">
      <c r="A15" s="673"/>
      <c r="B15" s="673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3"/>
      <c r="O15" s="673"/>
      <c r="P15" s="673"/>
    </row>
    <row r="16" spans="1:16" ht="12.75">
      <c r="A16" s="248">
        <v>2128118</v>
      </c>
      <c r="B16" s="190" t="s">
        <v>126</v>
      </c>
      <c r="C16" s="242"/>
      <c r="D16" s="242"/>
      <c r="E16" s="242"/>
      <c r="F16" s="243">
        <f t="shared" si="0"/>
        <v>0</v>
      </c>
      <c r="G16" s="523">
        <f t="shared" si="7"/>
        <v>137.994</v>
      </c>
      <c r="H16" s="245">
        <f>G16*((1-'Dealer Inputs'!$D$22)*1-'Dealer Inputs'!$H$22)*(1-'Dealer Inputs'!$L$22)</f>
        <v>103.49549999999999</v>
      </c>
      <c r="I16" s="250">
        <v>229.99</v>
      </c>
      <c r="J16" s="245">
        <f t="shared" si="1"/>
        <v>0</v>
      </c>
      <c r="K16" s="245">
        <f t="shared" si="2"/>
        <v>0</v>
      </c>
      <c r="L16" s="245">
        <f t="shared" si="2"/>
        <v>0</v>
      </c>
      <c r="M16" s="245">
        <f t="shared" si="3"/>
        <v>0</v>
      </c>
      <c r="N16" s="245">
        <f t="shared" si="4"/>
        <v>0</v>
      </c>
      <c r="O16" s="245">
        <f t="shared" si="5"/>
        <v>0</v>
      </c>
      <c r="P16" s="247">
        <f t="shared" si="6"/>
        <v>0</v>
      </c>
    </row>
    <row r="17" spans="1:16" ht="12.75" customHeight="1">
      <c r="A17" s="248">
        <v>2128119</v>
      </c>
      <c r="B17" s="190" t="s">
        <v>127</v>
      </c>
      <c r="C17" s="242"/>
      <c r="D17" s="242"/>
      <c r="E17" s="242"/>
      <c r="F17" s="243">
        <f>SUM(C17:E17)</f>
        <v>0</v>
      </c>
      <c r="G17" s="523">
        <f t="shared" si="7"/>
        <v>137.994</v>
      </c>
      <c r="H17" s="245">
        <f>G17*((1-'Dealer Inputs'!$D$22)*1-'Dealer Inputs'!$H$22)*(1-'Dealer Inputs'!$L$22)</f>
        <v>103.49549999999999</v>
      </c>
      <c r="I17" s="250">
        <v>229.99</v>
      </c>
      <c r="J17" s="245">
        <f t="shared" si="1"/>
        <v>0</v>
      </c>
      <c r="K17" s="245">
        <f t="shared" si="2"/>
        <v>0</v>
      </c>
      <c r="L17" s="245">
        <f t="shared" si="2"/>
        <v>0</v>
      </c>
      <c r="M17" s="245">
        <f t="shared" si="3"/>
        <v>0</v>
      </c>
      <c r="N17" s="245">
        <f t="shared" si="4"/>
        <v>0</v>
      </c>
      <c r="O17" s="245">
        <f t="shared" si="5"/>
        <v>0</v>
      </c>
      <c r="P17" s="247">
        <f t="shared" si="6"/>
        <v>0</v>
      </c>
    </row>
    <row r="18" spans="1:16" ht="12.75">
      <c r="A18" s="248">
        <v>2128120</v>
      </c>
      <c r="B18" s="190" t="s">
        <v>128</v>
      </c>
      <c r="C18" s="242"/>
      <c r="D18" s="242"/>
      <c r="E18" s="242"/>
      <c r="F18" s="243">
        <f>SUM(C18:E18)</f>
        <v>0</v>
      </c>
      <c r="G18" s="523">
        <f t="shared" si="7"/>
        <v>137.994</v>
      </c>
      <c r="H18" s="245">
        <f>G18*(1-'Dealer Inputs'!$D$22)*(1-'Dealer Inputs'!$H$22)*(1-'Dealer Inputs'!$L$22)</f>
        <v>103.49549999999999</v>
      </c>
      <c r="I18" s="250">
        <v>229.99</v>
      </c>
      <c r="J18" s="245"/>
      <c r="K18" s="245"/>
      <c r="L18" s="245"/>
      <c r="M18" s="245"/>
      <c r="N18" s="245"/>
      <c r="O18" s="245"/>
      <c r="P18" s="247">
        <f t="shared" si="6"/>
        <v>0</v>
      </c>
    </row>
    <row r="19" spans="1:16" ht="4.5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</row>
    <row r="20" spans="1:16" ht="12.75" customHeight="1">
      <c r="A20" s="248">
        <v>2128121</v>
      </c>
      <c r="B20" s="197" t="s">
        <v>129</v>
      </c>
      <c r="C20" s="242"/>
      <c r="D20" s="242"/>
      <c r="E20" s="242"/>
      <c r="F20" s="243">
        <f t="shared" si="0"/>
        <v>0</v>
      </c>
      <c r="G20" s="523">
        <f t="shared" si="7"/>
        <v>227.994</v>
      </c>
      <c r="H20" s="245">
        <f>G20*(1-'Dealer Inputs'!$D$22)*(1-'Dealer Inputs'!$H$22)*(1-'Dealer Inputs'!$L$22)</f>
        <v>170.9955</v>
      </c>
      <c r="I20" s="249">
        <v>379.99</v>
      </c>
      <c r="J20" s="245">
        <f t="shared" si="1"/>
        <v>0</v>
      </c>
      <c r="K20" s="245">
        <f aca="true" t="shared" si="8" ref="K20:K32">SUM(D20*$G20)</f>
        <v>0</v>
      </c>
      <c r="L20" s="245">
        <f aca="true" t="shared" si="9" ref="L20:L32">SUM(E20*$G20)</f>
        <v>0</v>
      </c>
      <c r="M20" s="245">
        <f t="shared" si="3"/>
        <v>0</v>
      </c>
      <c r="N20" s="245">
        <f t="shared" si="4"/>
        <v>0</v>
      </c>
      <c r="O20" s="245">
        <f t="shared" si="5"/>
        <v>0</v>
      </c>
      <c r="P20" s="247">
        <f t="shared" si="6"/>
        <v>0</v>
      </c>
    </row>
    <row r="21" spans="1:16" ht="12.75" customHeight="1">
      <c r="A21" s="248">
        <v>2128122</v>
      </c>
      <c r="B21" s="197" t="s">
        <v>130</v>
      </c>
      <c r="C21" s="242"/>
      <c r="D21" s="242"/>
      <c r="E21" s="242"/>
      <c r="F21" s="243">
        <f t="shared" si="0"/>
        <v>0</v>
      </c>
      <c r="G21" s="523">
        <f t="shared" si="7"/>
        <v>227.994</v>
      </c>
      <c r="H21" s="245">
        <f>G21*(1-'Dealer Inputs'!$D$22)*(1-'Dealer Inputs'!$H$22)*(1-'Dealer Inputs'!$L$22)</f>
        <v>170.9955</v>
      </c>
      <c r="I21" s="249">
        <v>379.99</v>
      </c>
      <c r="J21" s="245">
        <f t="shared" si="1"/>
        <v>0</v>
      </c>
      <c r="K21" s="245">
        <f t="shared" si="8"/>
        <v>0</v>
      </c>
      <c r="L21" s="245">
        <f t="shared" si="9"/>
        <v>0</v>
      </c>
      <c r="M21" s="245">
        <f t="shared" si="3"/>
        <v>0</v>
      </c>
      <c r="N21" s="245">
        <f t="shared" si="4"/>
        <v>0</v>
      </c>
      <c r="O21" s="245">
        <f t="shared" si="5"/>
        <v>0</v>
      </c>
      <c r="P21" s="247">
        <f t="shared" si="6"/>
        <v>0</v>
      </c>
    </row>
    <row r="22" spans="1:16" ht="12.75" customHeight="1">
      <c r="A22" s="248">
        <v>2128123</v>
      </c>
      <c r="B22" s="197" t="s">
        <v>131</v>
      </c>
      <c r="C22" s="242"/>
      <c r="D22" s="242"/>
      <c r="E22" s="242"/>
      <c r="F22" s="243">
        <f t="shared" si="0"/>
        <v>0</v>
      </c>
      <c r="G22" s="523">
        <f t="shared" si="7"/>
        <v>227.994</v>
      </c>
      <c r="H22" s="245">
        <f>G22*(1-'Dealer Inputs'!$D$22)*(1-'Dealer Inputs'!$H$22)*(1-'Dealer Inputs'!$L$22)</f>
        <v>170.9955</v>
      </c>
      <c r="I22" s="249">
        <v>379.99</v>
      </c>
      <c r="J22" s="245">
        <f t="shared" si="1"/>
        <v>0</v>
      </c>
      <c r="K22" s="245">
        <f t="shared" si="8"/>
        <v>0</v>
      </c>
      <c r="L22" s="245">
        <f t="shared" si="9"/>
        <v>0</v>
      </c>
      <c r="M22" s="245">
        <f t="shared" si="3"/>
        <v>0</v>
      </c>
      <c r="N22" s="245">
        <f t="shared" si="4"/>
        <v>0</v>
      </c>
      <c r="O22" s="245">
        <f t="shared" si="5"/>
        <v>0</v>
      </c>
      <c r="P22" s="247">
        <f t="shared" si="6"/>
        <v>0</v>
      </c>
    </row>
    <row r="23" spans="1:16" ht="13.5" customHeight="1">
      <c r="A23" s="248">
        <v>2128124</v>
      </c>
      <c r="B23" s="197" t="s">
        <v>232</v>
      </c>
      <c r="C23" s="242"/>
      <c r="D23" s="242"/>
      <c r="E23" s="242"/>
      <c r="F23" s="243">
        <f t="shared" si="0"/>
        <v>0</v>
      </c>
      <c r="G23" s="523">
        <f t="shared" si="7"/>
        <v>227.994</v>
      </c>
      <c r="H23" s="245">
        <f>G23*(1-'Dealer Inputs'!$D$22)*(1-'Dealer Inputs'!$H$22)*(1-'Dealer Inputs'!$L$22)</f>
        <v>170.9955</v>
      </c>
      <c r="I23" s="249">
        <v>379.99</v>
      </c>
      <c r="J23" s="245">
        <f t="shared" si="1"/>
        <v>0</v>
      </c>
      <c r="K23" s="245">
        <f t="shared" si="8"/>
        <v>0</v>
      </c>
      <c r="L23" s="245">
        <f t="shared" si="9"/>
        <v>0</v>
      </c>
      <c r="M23" s="245">
        <f t="shared" si="3"/>
        <v>0</v>
      </c>
      <c r="N23" s="245">
        <f t="shared" si="4"/>
        <v>0</v>
      </c>
      <c r="O23" s="245">
        <f t="shared" si="5"/>
        <v>0</v>
      </c>
      <c r="P23" s="247">
        <f t="shared" si="6"/>
        <v>0</v>
      </c>
    </row>
    <row r="24" spans="1:16" ht="12.75" customHeight="1">
      <c r="A24" s="248">
        <v>2128125</v>
      </c>
      <c r="B24" s="197" t="s">
        <v>233</v>
      </c>
      <c r="C24" s="242"/>
      <c r="D24" s="242"/>
      <c r="E24" s="242"/>
      <c r="F24" s="243">
        <f t="shared" si="0"/>
        <v>0</v>
      </c>
      <c r="G24" s="523">
        <f t="shared" si="7"/>
        <v>227.994</v>
      </c>
      <c r="H24" s="245">
        <f>G24*(1-'Dealer Inputs'!$D$22)*(1-'Dealer Inputs'!$H$22)*(1-'Dealer Inputs'!$L$22)</f>
        <v>170.9955</v>
      </c>
      <c r="I24" s="249">
        <v>379.99</v>
      </c>
      <c r="J24" s="245">
        <f t="shared" si="1"/>
        <v>0</v>
      </c>
      <c r="K24" s="245">
        <f t="shared" si="8"/>
        <v>0</v>
      </c>
      <c r="L24" s="245">
        <f t="shared" si="9"/>
        <v>0</v>
      </c>
      <c r="M24" s="245">
        <f t="shared" si="3"/>
        <v>0</v>
      </c>
      <c r="N24" s="245">
        <f t="shared" si="4"/>
        <v>0</v>
      </c>
      <c r="O24" s="245">
        <f t="shared" si="5"/>
        <v>0</v>
      </c>
      <c r="P24" s="247">
        <f t="shared" si="6"/>
        <v>0</v>
      </c>
    </row>
    <row r="25" spans="1:16" ht="14.25" customHeight="1">
      <c r="A25" s="248">
        <v>2128126</v>
      </c>
      <c r="B25" s="197" t="s">
        <v>234</v>
      </c>
      <c r="C25" s="242"/>
      <c r="D25" s="242"/>
      <c r="E25" s="242"/>
      <c r="F25" s="243">
        <f t="shared" si="0"/>
        <v>0</v>
      </c>
      <c r="G25" s="523">
        <f t="shared" si="7"/>
        <v>227.994</v>
      </c>
      <c r="H25" s="245">
        <f>G25*(1-'Dealer Inputs'!$D$22)*(1-'Dealer Inputs'!$H$22)*(1-'Dealer Inputs'!$L$22)</f>
        <v>170.9955</v>
      </c>
      <c r="I25" s="249">
        <v>379.99</v>
      </c>
      <c r="J25" s="245">
        <f t="shared" si="1"/>
        <v>0</v>
      </c>
      <c r="K25" s="245">
        <f t="shared" si="8"/>
        <v>0</v>
      </c>
      <c r="L25" s="245">
        <f t="shared" si="9"/>
        <v>0</v>
      </c>
      <c r="M25" s="245">
        <f t="shared" si="3"/>
        <v>0</v>
      </c>
      <c r="N25" s="245">
        <f t="shared" si="4"/>
        <v>0</v>
      </c>
      <c r="O25" s="245">
        <f t="shared" si="5"/>
        <v>0</v>
      </c>
      <c r="P25" s="247">
        <f t="shared" si="6"/>
        <v>0</v>
      </c>
    </row>
    <row r="26" spans="1:16" ht="6.75" customHeight="1">
      <c r="A26" s="673"/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</row>
    <row r="27" spans="1:16" ht="12.75">
      <c r="A27" s="248">
        <v>2128127</v>
      </c>
      <c r="B27" s="197" t="s">
        <v>235</v>
      </c>
      <c r="C27" s="242"/>
      <c r="D27" s="242"/>
      <c r="E27" s="242"/>
      <c r="F27" s="243">
        <f t="shared" si="0"/>
        <v>0</v>
      </c>
      <c r="G27" s="523">
        <f t="shared" si="7"/>
        <v>239.994</v>
      </c>
      <c r="H27" s="245">
        <f>G27*(1-'Dealer Inputs'!$D$22)*(1-'Dealer Inputs'!$H$22)*(1-'Dealer Inputs'!$L$22)</f>
        <v>179.9955</v>
      </c>
      <c r="I27" s="249">
        <v>399.99</v>
      </c>
      <c r="J27" s="245"/>
      <c r="K27" s="245"/>
      <c r="L27" s="245"/>
      <c r="M27" s="245"/>
      <c r="N27" s="245"/>
      <c r="O27" s="245"/>
      <c r="P27" s="247">
        <f t="shared" si="6"/>
        <v>0</v>
      </c>
    </row>
    <row r="28" spans="1:16" ht="13.5" customHeight="1">
      <c r="A28" s="248">
        <v>2128128</v>
      </c>
      <c r="B28" s="197" t="s">
        <v>236</v>
      </c>
      <c r="C28" s="242"/>
      <c r="D28" s="242"/>
      <c r="E28" s="242"/>
      <c r="F28" s="243">
        <f t="shared" si="0"/>
        <v>0</v>
      </c>
      <c r="G28" s="523">
        <f t="shared" si="7"/>
        <v>239.994</v>
      </c>
      <c r="H28" s="245">
        <f>G28*(1-'Dealer Inputs'!$D$22)*(1-'Dealer Inputs'!$H$22)*(1-'Dealer Inputs'!$L$22)</f>
        <v>179.9955</v>
      </c>
      <c r="I28" s="249">
        <v>399.99</v>
      </c>
      <c r="J28" s="245">
        <f t="shared" si="1"/>
        <v>0</v>
      </c>
      <c r="K28" s="245">
        <f t="shared" si="8"/>
        <v>0</v>
      </c>
      <c r="L28" s="245">
        <f t="shared" si="9"/>
        <v>0</v>
      </c>
      <c r="M28" s="245">
        <f t="shared" si="3"/>
        <v>0</v>
      </c>
      <c r="N28" s="245">
        <f t="shared" si="4"/>
        <v>0</v>
      </c>
      <c r="O28" s="245">
        <f t="shared" si="5"/>
        <v>0</v>
      </c>
      <c r="P28" s="247">
        <f t="shared" si="6"/>
        <v>0</v>
      </c>
    </row>
    <row r="29" spans="1:16" ht="14.25" customHeight="1">
      <c r="A29" s="248">
        <v>2128129</v>
      </c>
      <c r="B29" s="197" t="s">
        <v>237</v>
      </c>
      <c r="C29" s="242"/>
      <c r="D29" s="242"/>
      <c r="E29" s="242"/>
      <c r="F29" s="243">
        <f t="shared" si="0"/>
        <v>0</v>
      </c>
      <c r="G29" s="523">
        <f t="shared" si="7"/>
        <v>239.994</v>
      </c>
      <c r="H29" s="245">
        <f>G29*(1-'Dealer Inputs'!$D$22)*(1-'Dealer Inputs'!$H$22)*(1-'Dealer Inputs'!$L$22)</f>
        <v>179.9955</v>
      </c>
      <c r="I29" s="249">
        <v>399.99</v>
      </c>
      <c r="J29" s="245">
        <f t="shared" si="1"/>
        <v>0</v>
      </c>
      <c r="K29" s="245">
        <f t="shared" si="8"/>
        <v>0</v>
      </c>
      <c r="L29" s="245">
        <f t="shared" si="9"/>
        <v>0</v>
      </c>
      <c r="M29" s="245">
        <f t="shared" si="3"/>
        <v>0</v>
      </c>
      <c r="N29" s="245">
        <f t="shared" si="4"/>
        <v>0</v>
      </c>
      <c r="O29" s="245">
        <f t="shared" si="5"/>
        <v>0</v>
      </c>
      <c r="P29" s="247">
        <f t="shared" si="6"/>
        <v>0</v>
      </c>
    </row>
    <row r="30" spans="1:16" ht="12" customHeight="1">
      <c r="A30" s="248">
        <v>2128130</v>
      </c>
      <c r="B30" s="197" t="s">
        <v>238</v>
      </c>
      <c r="C30" s="242"/>
      <c r="D30" s="242"/>
      <c r="E30" s="242"/>
      <c r="F30" s="243">
        <f t="shared" si="0"/>
        <v>0</v>
      </c>
      <c r="G30" s="523">
        <f t="shared" si="7"/>
        <v>239.994</v>
      </c>
      <c r="H30" s="245">
        <f>G30*(1-'Dealer Inputs'!$D$22)*(1-'Dealer Inputs'!$H$22)*(1-'Dealer Inputs'!$L$22)</f>
        <v>179.9955</v>
      </c>
      <c r="I30" s="249">
        <v>399.99</v>
      </c>
      <c r="J30" s="245">
        <f t="shared" si="1"/>
        <v>0</v>
      </c>
      <c r="K30" s="245">
        <f t="shared" si="8"/>
        <v>0</v>
      </c>
      <c r="L30" s="245">
        <f t="shared" si="9"/>
        <v>0</v>
      </c>
      <c r="M30" s="245">
        <f t="shared" si="3"/>
        <v>0</v>
      </c>
      <c r="N30" s="245">
        <f t="shared" si="4"/>
        <v>0</v>
      </c>
      <c r="O30" s="245">
        <f t="shared" si="5"/>
        <v>0</v>
      </c>
      <c r="P30" s="247">
        <f t="shared" si="6"/>
        <v>0</v>
      </c>
    </row>
    <row r="31" spans="1:16" ht="12" customHeight="1">
      <c r="A31" s="248">
        <v>2128131</v>
      </c>
      <c r="B31" s="197" t="s">
        <v>239</v>
      </c>
      <c r="C31" s="242"/>
      <c r="D31" s="242"/>
      <c r="E31" s="242"/>
      <c r="F31" s="243">
        <f t="shared" si="0"/>
        <v>0</v>
      </c>
      <c r="G31" s="523">
        <f t="shared" si="7"/>
        <v>239.994</v>
      </c>
      <c r="H31" s="245">
        <f>G31*(1-'Dealer Inputs'!$D$22)*(1-'Dealer Inputs'!$H$22)*(1-'Dealer Inputs'!$L$22)</f>
        <v>179.9955</v>
      </c>
      <c r="I31" s="249">
        <v>399.99</v>
      </c>
      <c r="J31" s="245">
        <f t="shared" si="1"/>
        <v>0</v>
      </c>
      <c r="K31" s="245">
        <f t="shared" si="8"/>
        <v>0</v>
      </c>
      <c r="L31" s="245">
        <f t="shared" si="9"/>
        <v>0</v>
      </c>
      <c r="M31" s="245">
        <f t="shared" si="3"/>
        <v>0</v>
      </c>
      <c r="N31" s="245">
        <f t="shared" si="4"/>
        <v>0</v>
      </c>
      <c r="O31" s="245">
        <f t="shared" si="5"/>
        <v>0</v>
      </c>
      <c r="P31" s="247">
        <f t="shared" si="6"/>
        <v>0</v>
      </c>
    </row>
    <row r="32" spans="1:16" ht="12.75">
      <c r="A32" s="248">
        <v>2128132</v>
      </c>
      <c r="B32" s="197" t="s">
        <v>240</v>
      </c>
      <c r="C32" s="242"/>
      <c r="D32" s="242"/>
      <c r="E32" s="242"/>
      <c r="F32" s="243">
        <f t="shared" si="0"/>
        <v>0</v>
      </c>
      <c r="G32" s="523">
        <f t="shared" si="7"/>
        <v>239.994</v>
      </c>
      <c r="H32" s="245">
        <f>G32*(1-'Dealer Inputs'!$D$22)*(1-'Dealer Inputs'!$H$22)*(1-'Dealer Inputs'!$L$22)</f>
        <v>179.9955</v>
      </c>
      <c r="I32" s="249">
        <v>399.99</v>
      </c>
      <c r="J32" s="245">
        <f t="shared" si="1"/>
        <v>0</v>
      </c>
      <c r="K32" s="245">
        <f t="shared" si="8"/>
        <v>0</v>
      </c>
      <c r="L32" s="245">
        <f t="shared" si="9"/>
        <v>0</v>
      </c>
      <c r="M32" s="245">
        <f t="shared" si="3"/>
        <v>0</v>
      </c>
      <c r="N32" s="245">
        <f t="shared" si="4"/>
        <v>0</v>
      </c>
      <c r="O32" s="245">
        <f t="shared" si="5"/>
        <v>0</v>
      </c>
      <c r="P32" s="247">
        <f t="shared" si="6"/>
        <v>0</v>
      </c>
    </row>
    <row r="33" spans="1:16" ht="12" customHeight="1">
      <c r="A33" s="674" t="s">
        <v>448</v>
      </c>
      <c r="B33" s="675"/>
      <c r="C33" s="216">
        <v>1</v>
      </c>
      <c r="D33" s="216">
        <f>SUM(D4:D32)</f>
        <v>0</v>
      </c>
      <c r="E33" s="216">
        <f>SUM(E4:E32)</f>
        <v>0</v>
      </c>
      <c r="F33" s="216">
        <f>SUM(F4:F32)</f>
        <v>0</v>
      </c>
      <c r="G33" s="528"/>
      <c r="H33" s="216"/>
      <c r="I33" s="216"/>
      <c r="J33" s="216"/>
      <c r="K33" s="216"/>
      <c r="L33" s="216"/>
      <c r="M33" s="216"/>
      <c r="N33" s="216"/>
      <c r="O33" s="216"/>
      <c r="P33" s="216"/>
    </row>
    <row r="47" ht="13.5" customHeight="1"/>
    <row r="49" ht="11.25" customHeight="1"/>
    <row r="50" ht="11.25" customHeight="1"/>
    <row r="52" ht="6" customHeight="1"/>
    <row r="57" ht="12" customHeight="1"/>
    <row r="58" ht="6" customHeight="1">
      <c r="A58" s="34"/>
    </row>
    <row r="59" ht="12" customHeight="1">
      <c r="A59" s="34"/>
    </row>
    <row r="60" ht="12.75" customHeight="1">
      <c r="A60" s="34"/>
    </row>
    <row r="61" ht="12.75" customHeight="1">
      <c r="A61" s="34"/>
    </row>
    <row r="62" ht="12" customHeight="1">
      <c r="A62" s="34"/>
    </row>
    <row r="63" ht="12.75" customHeight="1">
      <c r="A63" s="34"/>
    </row>
    <row r="64" ht="12.75">
      <c r="A64" s="34"/>
    </row>
    <row r="65" ht="12.75">
      <c r="A65" s="34"/>
    </row>
    <row r="66" ht="12" customHeight="1">
      <c r="A66" s="34"/>
    </row>
    <row r="67" ht="6" customHeight="1">
      <c r="A67" s="34"/>
    </row>
    <row r="68" ht="12.75">
      <c r="A68" s="34"/>
    </row>
    <row r="69" ht="12.75">
      <c r="A69" s="34"/>
    </row>
    <row r="70" ht="12.75">
      <c r="A70" s="34"/>
    </row>
    <row r="71" ht="12.75" customHeight="1">
      <c r="A71" s="34"/>
    </row>
    <row r="72" ht="12.75" customHeight="1">
      <c r="A72" s="34"/>
    </row>
    <row r="73" ht="6" customHeight="1">
      <c r="A73" s="34"/>
    </row>
    <row r="74" ht="13.5" customHeight="1">
      <c r="A74" s="34"/>
    </row>
    <row r="75" ht="12.75" customHeight="1">
      <c r="A75" s="34"/>
    </row>
    <row r="76" ht="12.75" customHeight="1">
      <c r="A76" s="34"/>
    </row>
    <row r="77" ht="12.75">
      <c r="A77" s="34"/>
    </row>
    <row r="78" ht="12.75">
      <c r="A78" s="34"/>
    </row>
    <row r="79" ht="13.5" customHeight="1">
      <c r="A79" s="34"/>
    </row>
    <row r="80" ht="12.75" customHeight="1">
      <c r="A80" s="34"/>
    </row>
    <row r="81" ht="15" customHeight="1">
      <c r="A81" s="34"/>
    </row>
    <row r="82" ht="6" customHeight="1">
      <c r="A82" s="34"/>
    </row>
    <row r="83" ht="12.75" customHeight="1">
      <c r="A83" s="34"/>
    </row>
    <row r="84" ht="12.75" customHeight="1">
      <c r="A84" s="34"/>
    </row>
    <row r="85" ht="12.75" customHeight="1">
      <c r="A85" s="34"/>
    </row>
    <row r="86" ht="12.75">
      <c r="A86" s="34"/>
    </row>
    <row r="87" ht="6" customHeight="1">
      <c r="A87" s="34"/>
    </row>
    <row r="88" ht="12.75">
      <c r="A88" s="34"/>
    </row>
    <row r="89" ht="13.5" customHeight="1">
      <c r="A89" s="34"/>
    </row>
    <row r="90" ht="12.75">
      <c r="A90" s="34"/>
    </row>
    <row r="91" ht="12.75">
      <c r="A91" s="34"/>
    </row>
    <row r="92" ht="12.75">
      <c r="A92" s="34"/>
    </row>
    <row r="93" ht="12.75" customHeight="1">
      <c r="A93" s="34"/>
    </row>
    <row r="94" ht="12.75">
      <c r="A94" s="34"/>
    </row>
    <row r="95" ht="3.75" customHeight="1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3.75" customHeight="1">
      <c r="A100" s="34"/>
    </row>
    <row r="101" ht="12.75" customHeight="1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3.75" customHeight="1">
      <c r="A108" s="34"/>
    </row>
    <row r="109" ht="12.75">
      <c r="A109" s="34"/>
    </row>
    <row r="110" ht="12.75" customHeight="1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3.5" customHeight="1">
      <c r="A115" s="34"/>
    </row>
    <row r="116" ht="3.75" customHeight="1">
      <c r="A116" s="34"/>
    </row>
    <row r="117" ht="12.75">
      <c r="A117" s="34"/>
    </row>
    <row r="118" ht="12.75">
      <c r="A118" s="34"/>
    </row>
    <row r="119" ht="12.75">
      <c r="A119" s="34"/>
    </row>
    <row r="120" ht="12.75" customHeight="1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4.5" customHeight="1"/>
    <row r="130" ht="6" customHeight="1"/>
    <row r="135" ht="6" customHeight="1"/>
  </sheetData>
  <sheetProtection/>
  <mergeCells count="10">
    <mergeCell ref="A15:P15"/>
    <mergeCell ref="A19:P19"/>
    <mergeCell ref="A26:P26"/>
    <mergeCell ref="A33:B33"/>
    <mergeCell ref="A2:P2"/>
    <mergeCell ref="A3:P3"/>
    <mergeCell ref="A13:P13"/>
    <mergeCell ref="A6:P6"/>
    <mergeCell ref="A9:P9"/>
    <mergeCell ref="A11:P11"/>
  </mergeCells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RowColHeaders="0" zoomScale="125" zoomScaleNormal="125" zoomScalePageLayoutView="0" workbookViewId="0" topLeftCell="A1">
      <selection activeCell="I1" sqref="I1"/>
    </sheetView>
  </sheetViews>
  <sheetFormatPr defaultColWidth="8.8515625" defaultRowHeight="12.75"/>
  <cols>
    <col min="1" max="1" width="8.421875" style="0" customWidth="1"/>
    <col min="2" max="2" width="33.8515625" style="0" customWidth="1"/>
    <col min="3" max="3" width="5.8515625" style="0" customWidth="1"/>
    <col min="4" max="4" width="7.421875" style="0" customWidth="1"/>
    <col min="5" max="5" width="6.8515625" style="0" customWidth="1"/>
    <col min="6" max="6" width="9.421875" style="0" customWidth="1"/>
    <col min="7" max="7" width="9.140625" style="526" customWidth="1"/>
    <col min="8" max="8" width="11.00390625" style="0" hidden="1" customWidth="1"/>
    <col min="9" max="9" width="12.57421875" style="0" bestFit="1" customWidth="1"/>
    <col min="10" max="15" width="10.7109375" style="0" hidden="1" customWidth="1"/>
    <col min="16" max="16" width="11.8515625" style="0" bestFit="1" customWidth="1"/>
    <col min="17" max="17" width="9.8515625" style="0" bestFit="1" customWidth="1"/>
  </cols>
  <sheetData>
    <row r="1" spans="1:18" s="208" customFormat="1" ht="13.5" customHeight="1" thickBot="1">
      <c r="A1" s="290" t="s">
        <v>315</v>
      </c>
      <c r="B1" s="291" t="s">
        <v>316</v>
      </c>
      <c r="C1" s="292" t="s">
        <v>342</v>
      </c>
      <c r="D1" s="292" t="s">
        <v>343</v>
      </c>
      <c r="E1" s="292" t="s">
        <v>344</v>
      </c>
      <c r="F1" s="293" t="s">
        <v>345</v>
      </c>
      <c r="G1" s="529" t="s">
        <v>498</v>
      </c>
      <c r="H1" s="294" t="s">
        <v>473</v>
      </c>
      <c r="I1" s="295" t="s">
        <v>499</v>
      </c>
      <c r="J1" s="291" t="s">
        <v>464</v>
      </c>
      <c r="K1" s="291" t="s">
        <v>465</v>
      </c>
      <c r="L1" s="291" t="s">
        <v>466</v>
      </c>
      <c r="M1" s="291" t="s">
        <v>467</v>
      </c>
      <c r="N1" s="291" t="s">
        <v>468</v>
      </c>
      <c r="O1" s="291" t="s">
        <v>469</v>
      </c>
      <c r="P1" s="296" t="s">
        <v>318</v>
      </c>
      <c r="Q1" s="207"/>
      <c r="R1" s="207"/>
    </row>
    <row r="2" spans="1:16" ht="18" customHeight="1">
      <c r="A2" s="680" t="s">
        <v>177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</row>
    <row r="3" spans="1:16" ht="15.75" customHeight="1">
      <c r="A3" s="297"/>
      <c r="B3" s="211" t="s">
        <v>178</v>
      </c>
      <c r="C3" s="298"/>
      <c r="D3" s="298"/>
      <c r="E3" s="298"/>
      <c r="F3" s="299"/>
      <c r="G3" s="530"/>
      <c r="H3" s="300"/>
      <c r="I3" s="300"/>
      <c r="J3" s="300"/>
      <c r="K3" s="300"/>
      <c r="L3" s="300"/>
      <c r="M3" s="300"/>
      <c r="N3" s="300"/>
      <c r="O3" s="300"/>
      <c r="P3" s="301"/>
    </row>
    <row r="4" spans="1:16" ht="15.75" customHeight="1">
      <c r="A4" s="302">
        <v>2128000</v>
      </c>
      <c r="B4" s="271" t="s">
        <v>179</v>
      </c>
      <c r="C4" s="242"/>
      <c r="D4" s="242"/>
      <c r="E4" s="242"/>
      <c r="F4" s="243">
        <f>SUM(C4:E4)</f>
        <v>0</v>
      </c>
      <c r="G4" s="523">
        <f>SUM(I4*0.6)</f>
        <v>77.994</v>
      </c>
      <c r="H4" s="245">
        <f>G4*(1-'Dealer Inputs'!$D$22)*(1-'Dealer Inputs'!$H$22)*(1-'Dealer Inputs'!$L$22)</f>
        <v>58.4955</v>
      </c>
      <c r="I4" s="249">
        <v>129.99</v>
      </c>
      <c r="J4" s="245">
        <f aca="true" t="shared" si="0" ref="J4:J24">SUM(C4*$G4)</f>
        <v>0</v>
      </c>
      <c r="K4" s="245">
        <f aca="true" t="shared" si="1" ref="K4:K24">SUM(D4*$G4)</f>
        <v>0</v>
      </c>
      <c r="L4" s="245">
        <f aca="true" t="shared" si="2" ref="L4:L24">SUM(E4*$G4)</f>
        <v>0</v>
      </c>
      <c r="M4" s="245">
        <f aca="true" t="shared" si="3" ref="M4:M24">SUM(C4*$H4)</f>
        <v>0</v>
      </c>
      <c r="N4" s="245">
        <f aca="true" t="shared" si="4" ref="N4:N24">SUM(D4*$H4)</f>
        <v>0</v>
      </c>
      <c r="O4" s="245">
        <f aca="true" t="shared" si="5" ref="O4:O24">SUM(E4*$H4)</f>
        <v>0</v>
      </c>
      <c r="P4" s="247">
        <f>H4*F4</f>
        <v>0</v>
      </c>
    </row>
    <row r="5" spans="1:16" ht="12.75">
      <c r="A5" s="302">
        <v>2128001</v>
      </c>
      <c r="B5" s="271" t="s">
        <v>180</v>
      </c>
      <c r="C5" s="242"/>
      <c r="D5" s="242"/>
      <c r="E5" s="242"/>
      <c r="F5" s="243">
        <f>SUM(C5:E5)</f>
        <v>0</v>
      </c>
      <c r="G5" s="523">
        <f>SUM(I5*0.6)</f>
        <v>77.994</v>
      </c>
      <c r="H5" s="245">
        <f>G5*(1-'Dealer Inputs'!$D$22)*(1-'Dealer Inputs'!$H$22)*(1-'Dealer Inputs'!$L$22)</f>
        <v>58.4955</v>
      </c>
      <c r="I5" s="249">
        <v>129.99</v>
      </c>
      <c r="J5" s="245">
        <f t="shared" si="0"/>
        <v>0</v>
      </c>
      <c r="K5" s="245">
        <f t="shared" si="1"/>
        <v>0</v>
      </c>
      <c r="L5" s="245">
        <f t="shared" si="2"/>
        <v>0</v>
      </c>
      <c r="M5" s="245">
        <f t="shared" si="3"/>
        <v>0</v>
      </c>
      <c r="N5" s="245">
        <f t="shared" si="4"/>
        <v>0</v>
      </c>
      <c r="O5" s="245">
        <f t="shared" si="5"/>
        <v>0</v>
      </c>
      <c r="P5" s="247">
        <f>H5*F5</f>
        <v>0</v>
      </c>
    </row>
    <row r="6" spans="1:16" ht="12.75">
      <c r="A6" s="302">
        <v>2128002</v>
      </c>
      <c r="B6" s="271" t="s">
        <v>430</v>
      </c>
      <c r="C6" s="242"/>
      <c r="D6" s="242"/>
      <c r="E6" s="242"/>
      <c r="F6" s="243">
        <f>SUM(C6:E6)</f>
        <v>0</v>
      </c>
      <c r="G6" s="523">
        <f>SUM(I6*0.6)</f>
        <v>77.994</v>
      </c>
      <c r="H6" s="245">
        <f>G6*(1-'Dealer Inputs'!$D$22)*(1-'Dealer Inputs'!$H$22)*(1-'Dealer Inputs'!$L$22)</f>
        <v>58.4955</v>
      </c>
      <c r="I6" s="249">
        <v>129.99</v>
      </c>
      <c r="J6" s="245"/>
      <c r="K6" s="245"/>
      <c r="L6" s="245"/>
      <c r="M6" s="245"/>
      <c r="N6" s="245"/>
      <c r="O6" s="245"/>
      <c r="P6" s="247">
        <f>H6*F6</f>
        <v>0</v>
      </c>
    </row>
    <row r="7" spans="1:16" ht="13.5" customHeight="1">
      <c r="A7" s="302">
        <v>2128003</v>
      </c>
      <c r="B7" s="271" t="s">
        <v>431</v>
      </c>
      <c r="C7" s="242"/>
      <c r="D7" s="242"/>
      <c r="E7" s="242"/>
      <c r="F7" s="243">
        <f>SUM(C7:E7)</f>
        <v>0</v>
      </c>
      <c r="G7" s="523">
        <f>SUM(I7*0.6)</f>
        <v>77.994</v>
      </c>
      <c r="H7" s="245">
        <f>G7*(1-'Dealer Inputs'!$D$22)*(1-'Dealer Inputs'!$H$22)*(1-'Dealer Inputs'!$L$22)</f>
        <v>58.4955</v>
      </c>
      <c r="I7" s="249">
        <v>129.99</v>
      </c>
      <c r="J7" s="245">
        <f t="shared" si="0"/>
        <v>0</v>
      </c>
      <c r="K7" s="245">
        <f t="shared" si="1"/>
        <v>0</v>
      </c>
      <c r="L7" s="245">
        <f t="shared" si="2"/>
        <v>0</v>
      </c>
      <c r="M7" s="245">
        <f t="shared" si="3"/>
        <v>0</v>
      </c>
      <c r="N7" s="245">
        <f t="shared" si="4"/>
        <v>0</v>
      </c>
      <c r="O7" s="245">
        <f t="shared" si="5"/>
        <v>0</v>
      </c>
      <c r="P7" s="247">
        <f>H7*F7</f>
        <v>0</v>
      </c>
    </row>
    <row r="8" spans="1:16" ht="12.75">
      <c r="A8" s="303"/>
      <c r="B8" s="304" t="s">
        <v>181</v>
      </c>
      <c r="C8" s="305"/>
      <c r="D8" s="306"/>
      <c r="E8" s="306"/>
      <c r="F8" s="306"/>
      <c r="G8" s="531"/>
      <c r="H8" s="306"/>
      <c r="I8" s="306"/>
      <c r="J8" s="306"/>
      <c r="K8" s="306"/>
      <c r="L8" s="306"/>
      <c r="M8" s="306"/>
      <c r="N8" s="306"/>
      <c r="O8" s="306"/>
      <c r="P8" s="307"/>
    </row>
    <row r="9" spans="1:16" ht="12.75">
      <c r="A9" s="308">
        <v>2128022</v>
      </c>
      <c r="B9" s="190" t="s">
        <v>182</v>
      </c>
      <c r="C9" s="242"/>
      <c r="D9" s="242"/>
      <c r="E9" s="242"/>
      <c r="F9" s="243">
        <f>SUM(C9:E9)</f>
        <v>0</v>
      </c>
      <c r="G9" s="523">
        <f>SUM(I9*0.6)</f>
        <v>119.994</v>
      </c>
      <c r="H9" s="245">
        <f>G9*(1-'Dealer Inputs'!$D$22)*(1-'Dealer Inputs'!$H$22)*(1-'Dealer Inputs'!$L$22)</f>
        <v>89.99549999999999</v>
      </c>
      <c r="I9" s="249">
        <v>199.99</v>
      </c>
      <c r="J9" s="245"/>
      <c r="K9" s="245"/>
      <c r="L9" s="245"/>
      <c r="M9" s="245"/>
      <c r="N9" s="245"/>
      <c r="O9" s="245"/>
      <c r="P9" s="247">
        <f>H9*F9</f>
        <v>0</v>
      </c>
    </row>
    <row r="10" spans="1:16" ht="12.75">
      <c r="A10" s="210">
        <v>2128023</v>
      </c>
      <c r="B10" s="190" t="s">
        <v>183</v>
      </c>
      <c r="C10" s="242"/>
      <c r="D10" s="242"/>
      <c r="E10" s="242"/>
      <c r="F10" s="243">
        <f>SUM(C10:E10)</f>
        <v>0</v>
      </c>
      <c r="G10" s="523">
        <f>SUM(I10*0.6)</f>
        <v>119.994</v>
      </c>
      <c r="H10" s="245">
        <f>G10*(1-'Dealer Inputs'!$D$22)*(1-'Dealer Inputs'!$H$22)*(1-'Dealer Inputs'!$L$22)</f>
        <v>89.99549999999999</v>
      </c>
      <c r="I10" s="249">
        <v>199.99</v>
      </c>
      <c r="J10" s="245">
        <f t="shared" si="0"/>
        <v>0</v>
      </c>
      <c r="K10" s="245">
        <f t="shared" si="1"/>
        <v>0</v>
      </c>
      <c r="L10" s="245">
        <f t="shared" si="2"/>
        <v>0</v>
      </c>
      <c r="M10" s="245">
        <f t="shared" si="3"/>
        <v>0</v>
      </c>
      <c r="N10" s="245">
        <f t="shared" si="4"/>
        <v>0</v>
      </c>
      <c r="O10" s="245">
        <f t="shared" si="5"/>
        <v>0</v>
      </c>
      <c r="P10" s="247">
        <f>H10*F10</f>
        <v>0</v>
      </c>
    </row>
    <row r="11" spans="1:16" ht="12.75">
      <c r="A11" s="302">
        <v>2128024</v>
      </c>
      <c r="B11" s="190" t="s">
        <v>93</v>
      </c>
      <c r="C11" s="242"/>
      <c r="D11" s="242"/>
      <c r="E11" s="242"/>
      <c r="F11" s="243">
        <f>SUM(C11:E11)</f>
        <v>0</v>
      </c>
      <c r="G11" s="523">
        <f>SUM(I11*0.6)</f>
        <v>119.994</v>
      </c>
      <c r="H11" s="245">
        <f>G11*(1-'Dealer Inputs'!$D$22)*(1-'Dealer Inputs'!$H$22)*(1-'Dealer Inputs'!$L$22)</f>
        <v>89.99549999999999</v>
      </c>
      <c r="I11" s="249">
        <v>199.99</v>
      </c>
      <c r="J11" s="245">
        <f t="shared" si="0"/>
        <v>0</v>
      </c>
      <c r="K11" s="245">
        <f t="shared" si="1"/>
        <v>0</v>
      </c>
      <c r="L11" s="245">
        <f t="shared" si="2"/>
        <v>0</v>
      </c>
      <c r="M11" s="245">
        <f t="shared" si="3"/>
        <v>0</v>
      </c>
      <c r="N11" s="245">
        <f t="shared" si="4"/>
        <v>0</v>
      </c>
      <c r="O11" s="245">
        <f t="shared" si="5"/>
        <v>0</v>
      </c>
      <c r="P11" s="247">
        <f>H11*F11</f>
        <v>0</v>
      </c>
    </row>
    <row r="12" spans="1:16" ht="12.75">
      <c r="A12" s="212">
        <v>2128025</v>
      </c>
      <c r="B12" s="194" t="s">
        <v>94</v>
      </c>
      <c r="C12" s="309"/>
      <c r="D12" s="309"/>
      <c r="E12" s="309"/>
      <c r="F12" s="277">
        <f>SUM(C12:E12)</f>
        <v>0</v>
      </c>
      <c r="G12" s="524">
        <f>SUM(I12*0.6)</f>
        <v>119.994</v>
      </c>
      <c r="H12" s="245">
        <f>G12*(1-'Dealer Inputs'!$D$22)*(1-'Dealer Inputs'!$H$22)*(1-'Dealer Inputs'!$L$22)</f>
        <v>89.99549999999999</v>
      </c>
      <c r="I12" s="310">
        <v>199.99</v>
      </c>
      <c r="J12" s="278"/>
      <c r="K12" s="278"/>
      <c r="L12" s="278"/>
      <c r="M12" s="278"/>
      <c r="N12" s="278"/>
      <c r="O12" s="278"/>
      <c r="P12" s="247">
        <f>H12*F12</f>
        <v>0</v>
      </c>
    </row>
    <row r="13" spans="1:16" ht="6.75" customHeight="1">
      <c r="A13" s="214"/>
      <c r="B13" s="215"/>
      <c r="C13" s="311"/>
      <c r="D13" s="311"/>
      <c r="E13" s="311"/>
      <c r="F13" s="312"/>
      <c r="G13" s="523"/>
      <c r="H13" s="249"/>
      <c r="I13" s="249"/>
      <c r="J13" s="249"/>
      <c r="K13" s="249"/>
      <c r="L13" s="249"/>
      <c r="M13" s="249"/>
      <c r="N13" s="249"/>
      <c r="O13" s="249"/>
      <c r="P13" s="313"/>
    </row>
    <row r="14" spans="1:16" ht="12.75">
      <c r="A14" s="314">
        <v>2128026</v>
      </c>
      <c r="B14" s="213" t="s">
        <v>95</v>
      </c>
      <c r="C14" s="284"/>
      <c r="D14" s="284"/>
      <c r="E14" s="284"/>
      <c r="F14" s="285">
        <f>SUM(C14:E14)</f>
        <v>0</v>
      </c>
      <c r="G14" s="525">
        <f>SUM(I14*0.6)</f>
        <v>119.994</v>
      </c>
      <c r="H14" s="286">
        <f>G14*(1-'Dealer Inputs'!$D$22)*(1-'Dealer Inputs'!$H$22)*(1-'Dealer Inputs'!$L$22)</f>
        <v>89.99549999999999</v>
      </c>
      <c r="I14" s="315">
        <v>199.99</v>
      </c>
      <c r="J14" s="286">
        <f t="shared" si="0"/>
        <v>0</v>
      </c>
      <c r="K14" s="286">
        <f t="shared" si="1"/>
        <v>0</v>
      </c>
      <c r="L14" s="286">
        <f t="shared" si="2"/>
        <v>0</v>
      </c>
      <c r="M14" s="286">
        <f t="shared" si="3"/>
        <v>0</v>
      </c>
      <c r="N14" s="286">
        <f t="shared" si="4"/>
        <v>0</v>
      </c>
      <c r="O14" s="286">
        <f t="shared" si="5"/>
        <v>0</v>
      </c>
      <c r="P14" s="316">
        <f>H14*F14</f>
        <v>0</v>
      </c>
    </row>
    <row r="15" spans="1:16" ht="12.75">
      <c r="A15" s="210">
        <v>2128027</v>
      </c>
      <c r="B15" s="190" t="s">
        <v>96</v>
      </c>
      <c r="C15" s="242"/>
      <c r="D15" s="242"/>
      <c r="E15" s="242"/>
      <c r="F15" s="243">
        <f>SUM(C15:E15)</f>
        <v>0</v>
      </c>
      <c r="G15" s="523">
        <f>SUM(I15*0.6)</f>
        <v>119.994</v>
      </c>
      <c r="H15" s="286">
        <f>G15*(1-'Dealer Inputs'!$D$22)*(1-'Dealer Inputs'!$H$22)*(1-'Dealer Inputs'!$L$22)</f>
        <v>89.99549999999999</v>
      </c>
      <c r="I15" s="249">
        <v>199.99</v>
      </c>
      <c r="J15" s="245">
        <f t="shared" si="0"/>
        <v>0</v>
      </c>
      <c r="K15" s="245">
        <f t="shared" si="1"/>
        <v>0</v>
      </c>
      <c r="L15" s="245">
        <f t="shared" si="2"/>
        <v>0</v>
      </c>
      <c r="M15" s="245">
        <f t="shared" si="3"/>
        <v>0</v>
      </c>
      <c r="N15" s="245">
        <f t="shared" si="4"/>
        <v>0</v>
      </c>
      <c r="O15" s="245">
        <f t="shared" si="5"/>
        <v>0</v>
      </c>
      <c r="P15" s="247">
        <f>H15*F15</f>
        <v>0</v>
      </c>
    </row>
    <row r="16" spans="1:16" ht="12.75">
      <c r="A16" s="302">
        <v>2128028</v>
      </c>
      <c r="B16" s="190" t="s">
        <v>97</v>
      </c>
      <c r="C16" s="242"/>
      <c r="D16" s="242"/>
      <c r="E16" s="242"/>
      <c r="F16" s="243">
        <f>SUM(C16:E16)</f>
        <v>0</v>
      </c>
      <c r="G16" s="523">
        <f>SUM(I16*0.6)</f>
        <v>119.994</v>
      </c>
      <c r="H16" s="286">
        <f>G16*(1-'Dealer Inputs'!$D$22)*(1-'Dealer Inputs'!$H$22)*(1-'Dealer Inputs'!$L$22)</f>
        <v>89.99549999999999</v>
      </c>
      <c r="I16" s="249">
        <v>199.99</v>
      </c>
      <c r="J16" s="245"/>
      <c r="K16" s="245"/>
      <c r="L16" s="245"/>
      <c r="M16" s="245"/>
      <c r="N16" s="245"/>
      <c r="O16" s="245"/>
      <c r="P16" s="247">
        <f>H16*F16</f>
        <v>0</v>
      </c>
    </row>
    <row r="17" spans="1:16" ht="13.5" customHeight="1">
      <c r="A17" s="210">
        <v>2128029</v>
      </c>
      <c r="B17" s="190" t="s">
        <v>98</v>
      </c>
      <c r="C17" s="242"/>
      <c r="D17" s="242"/>
      <c r="E17" s="242"/>
      <c r="F17" s="243">
        <f>SUM(C17:E17)</f>
        <v>0</v>
      </c>
      <c r="G17" s="523">
        <f>SUM(I17*0.6)</f>
        <v>119.994</v>
      </c>
      <c r="H17" s="286">
        <f>G17*(1-'Dealer Inputs'!$D$22)*(1-'Dealer Inputs'!$H$22)*(1-'Dealer Inputs'!$L$22)</f>
        <v>89.99549999999999</v>
      </c>
      <c r="I17" s="249">
        <v>199.99</v>
      </c>
      <c r="J17" s="245">
        <f t="shared" si="0"/>
        <v>0</v>
      </c>
      <c r="K17" s="245">
        <f t="shared" si="1"/>
        <v>0</v>
      </c>
      <c r="L17" s="245">
        <f t="shared" si="2"/>
        <v>0</v>
      </c>
      <c r="M17" s="245">
        <f t="shared" si="3"/>
        <v>0</v>
      </c>
      <c r="N17" s="245">
        <f t="shared" si="4"/>
        <v>0</v>
      </c>
      <c r="O17" s="245">
        <f t="shared" si="5"/>
        <v>0</v>
      </c>
      <c r="P17" s="247">
        <f>H17*F17</f>
        <v>0</v>
      </c>
    </row>
    <row r="18" spans="1:16" ht="12.75">
      <c r="A18" s="303"/>
      <c r="B18" s="304" t="s">
        <v>99</v>
      </c>
      <c r="C18" s="305"/>
      <c r="D18" s="306"/>
      <c r="E18" s="306"/>
      <c r="F18" s="306"/>
      <c r="G18" s="531"/>
      <c r="H18" s="306"/>
      <c r="I18" s="306"/>
      <c r="J18" s="306"/>
      <c r="K18" s="306"/>
      <c r="L18" s="306"/>
      <c r="M18" s="306"/>
      <c r="N18" s="306"/>
      <c r="O18" s="306"/>
      <c r="P18" s="307"/>
    </row>
    <row r="19" spans="1:16" ht="12.75">
      <c r="A19" s="308">
        <v>2128030</v>
      </c>
      <c r="B19" s="317" t="s">
        <v>100</v>
      </c>
      <c r="C19" s="242"/>
      <c r="D19" s="242"/>
      <c r="E19" s="242"/>
      <c r="F19" s="243">
        <f>SUM(C19:E19)</f>
        <v>0</v>
      </c>
      <c r="G19" s="523">
        <f>SUM(I19*0.6)</f>
        <v>113.994</v>
      </c>
      <c r="H19" s="245">
        <f>G19*(1-'Dealer Inputs'!$D$22)*(1-'Dealer Inputs'!$H$22)*(1-'Dealer Inputs'!$L$22)</f>
        <v>85.49549999999999</v>
      </c>
      <c r="I19" s="249">
        <v>189.99</v>
      </c>
      <c r="J19" s="245">
        <f t="shared" si="0"/>
        <v>0</v>
      </c>
      <c r="K19" s="245">
        <f t="shared" si="1"/>
        <v>0</v>
      </c>
      <c r="L19" s="245">
        <f t="shared" si="2"/>
        <v>0</v>
      </c>
      <c r="M19" s="245">
        <f t="shared" si="3"/>
        <v>0</v>
      </c>
      <c r="N19" s="245">
        <f t="shared" si="4"/>
        <v>0</v>
      </c>
      <c r="O19" s="245">
        <f t="shared" si="5"/>
        <v>0</v>
      </c>
      <c r="P19" s="247">
        <f>H19*F19</f>
        <v>0</v>
      </c>
    </row>
    <row r="20" spans="1:16" ht="12.75">
      <c r="A20" s="210">
        <v>2128031</v>
      </c>
      <c r="B20" s="252" t="s">
        <v>101</v>
      </c>
      <c r="C20" s="242"/>
      <c r="D20" s="242"/>
      <c r="E20" s="242"/>
      <c r="F20" s="243">
        <f aca="true" t="shared" si="6" ref="F20:F27">SUM(C20:E20)</f>
        <v>0</v>
      </c>
      <c r="G20" s="523">
        <f aca="true" t="shared" si="7" ref="G20:G25">SUM(I20*0.6)</f>
        <v>113.994</v>
      </c>
      <c r="H20" s="245">
        <f>G20*(1-'Dealer Inputs'!$D$22)*(1-'Dealer Inputs'!$H$22)*(1-'Dealer Inputs'!$L$22)</f>
        <v>85.49549999999999</v>
      </c>
      <c r="I20" s="249">
        <v>189.99</v>
      </c>
      <c r="J20" s="245"/>
      <c r="K20" s="245"/>
      <c r="L20" s="245"/>
      <c r="M20" s="245"/>
      <c r="N20" s="245"/>
      <c r="O20" s="245"/>
      <c r="P20" s="247">
        <f>H20*F20</f>
        <v>0</v>
      </c>
    </row>
    <row r="21" spans="1:16" ht="12.75">
      <c r="A21" s="302">
        <v>2128032</v>
      </c>
      <c r="B21" s="271" t="s">
        <v>102</v>
      </c>
      <c r="C21" s="242"/>
      <c r="D21" s="242"/>
      <c r="E21" s="242"/>
      <c r="F21" s="243">
        <f t="shared" si="6"/>
        <v>0</v>
      </c>
      <c r="G21" s="523">
        <f t="shared" si="7"/>
        <v>113.994</v>
      </c>
      <c r="H21" s="245">
        <f>G21*(1-'Dealer Inputs'!$D$22)*(1-'Dealer Inputs'!$H$22)*(1-'Dealer Inputs'!$L$22)</f>
        <v>85.49549999999999</v>
      </c>
      <c r="I21" s="249">
        <v>189.99</v>
      </c>
      <c r="J21" s="245">
        <f t="shared" si="0"/>
        <v>0</v>
      </c>
      <c r="K21" s="245">
        <f t="shared" si="1"/>
        <v>0</v>
      </c>
      <c r="L21" s="245">
        <f t="shared" si="2"/>
        <v>0</v>
      </c>
      <c r="M21" s="245">
        <f t="shared" si="3"/>
        <v>0</v>
      </c>
      <c r="N21" s="245">
        <f t="shared" si="4"/>
        <v>0</v>
      </c>
      <c r="O21" s="245">
        <f t="shared" si="5"/>
        <v>0</v>
      </c>
      <c r="P21" s="247">
        <f>H21*F21</f>
        <v>0</v>
      </c>
    </row>
    <row r="22" spans="1:16" ht="12.75">
      <c r="A22" s="212">
        <v>2128033</v>
      </c>
      <c r="B22" s="318" t="s">
        <v>103</v>
      </c>
      <c r="C22" s="309"/>
      <c r="D22" s="309"/>
      <c r="E22" s="309"/>
      <c r="F22" s="277">
        <f t="shared" si="6"/>
        <v>0</v>
      </c>
      <c r="G22" s="524">
        <f t="shared" si="7"/>
        <v>113.994</v>
      </c>
      <c r="H22" s="278">
        <f>G22*(1-'Dealer Inputs'!$D$22)*(1-'Dealer Inputs'!$H$22)*(1-'Dealer Inputs'!$L$22)</f>
        <v>85.49549999999999</v>
      </c>
      <c r="I22" s="310">
        <v>189.99</v>
      </c>
      <c r="J22" s="278">
        <f t="shared" si="0"/>
        <v>0</v>
      </c>
      <c r="K22" s="278">
        <f t="shared" si="1"/>
        <v>0</v>
      </c>
      <c r="L22" s="278">
        <f t="shared" si="2"/>
        <v>0</v>
      </c>
      <c r="M22" s="278">
        <f t="shared" si="3"/>
        <v>0</v>
      </c>
      <c r="N22" s="278">
        <f t="shared" si="4"/>
        <v>0</v>
      </c>
      <c r="O22" s="278">
        <f t="shared" si="5"/>
        <v>0</v>
      </c>
      <c r="P22" s="319">
        <f>H22*F22</f>
        <v>0</v>
      </c>
    </row>
    <row r="23" spans="1:16" ht="6" customHeight="1">
      <c r="A23" s="214"/>
      <c r="B23" s="320"/>
      <c r="C23" s="311"/>
      <c r="D23" s="311"/>
      <c r="E23" s="311"/>
      <c r="F23" s="312"/>
      <c r="G23" s="523"/>
      <c r="H23" s="249"/>
      <c r="I23" s="249"/>
      <c r="J23" s="249"/>
      <c r="K23" s="249"/>
      <c r="L23" s="249"/>
      <c r="M23" s="249"/>
      <c r="N23" s="249"/>
      <c r="O23" s="249"/>
      <c r="P23" s="313"/>
    </row>
    <row r="24" spans="1:16" ht="12.75">
      <c r="A24" s="314">
        <v>2128034</v>
      </c>
      <c r="B24" s="321" t="s">
        <v>104</v>
      </c>
      <c r="C24" s="284"/>
      <c r="D24" s="284"/>
      <c r="E24" s="284"/>
      <c r="F24" s="285">
        <f t="shared" si="6"/>
        <v>0</v>
      </c>
      <c r="G24" s="525">
        <f t="shared" si="7"/>
        <v>113.994</v>
      </c>
      <c r="H24" s="286">
        <f>G24*(1-'Dealer Inputs'!$D$22)*(1-'Dealer Inputs'!$H$22)*(1-'Dealer Inputs'!$L$22)</f>
        <v>85.49549999999999</v>
      </c>
      <c r="I24" s="315">
        <v>189.99</v>
      </c>
      <c r="J24" s="286">
        <f t="shared" si="0"/>
        <v>0</v>
      </c>
      <c r="K24" s="286">
        <f t="shared" si="1"/>
        <v>0</v>
      </c>
      <c r="L24" s="286">
        <f t="shared" si="2"/>
        <v>0</v>
      </c>
      <c r="M24" s="286">
        <f t="shared" si="3"/>
        <v>0</v>
      </c>
      <c r="N24" s="286">
        <f t="shared" si="4"/>
        <v>0</v>
      </c>
      <c r="O24" s="286">
        <f t="shared" si="5"/>
        <v>0</v>
      </c>
      <c r="P24" s="316">
        <f>H24*F24</f>
        <v>0</v>
      </c>
    </row>
    <row r="25" spans="1:17" ht="12.75">
      <c r="A25" s="210">
        <v>2128035</v>
      </c>
      <c r="B25" s="252" t="s">
        <v>105</v>
      </c>
      <c r="C25" s="242"/>
      <c r="D25" s="242"/>
      <c r="E25" s="242"/>
      <c r="F25" s="243">
        <f t="shared" si="6"/>
        <v>0</v>
      </c>
      <c r="G25" s="523">
        <f t="shared" si="7"/>
        <v>113.994</v>
      </c>
      <c r="H25" s="286">
        <f>G25*(1-'Dealer Inputs'!$D$22)*(1-'Dealer Inputs'!$H$22)*(1-'Dealer Inputs'!$L$22)</f>
        <v>85.49549999999999</v>
      </c>
      <c r="I25" s="249">
        <v>189.99</v>
      </c>
      <c r="J25" s="245"/>
      <c r="K25" s="245"/>
      <c r="L25" s="245"/>
      <c r="M25" s="245"/>
      <c r="N25" s="245"/>
      <c r="O25" s="245"/>
      <c r="P25" s="316">
        <f>H25*F25</f>
        <v>0</v>
      </c>
      <c r="Q25" s="9"/>
    </row>
    <row r="26" spans="1:17" ht="12.75">
      <c r="A26" s="302">
        <v>2128036</v>
      </c>
      <c r="B26" s="271" t="s">
        <v>106</v>
      </c>
      <c r="C26" s="242"/>
      <c r="D26" s="242"/>
      <c r="E26" s="242"/>
      <c r="F26" s="243">
        <f t="shared" si="6"/>
        <v>0</v>
      </c>
      <c r="G26" s="523">
        <f aca="true" t="shared" si="8" ref="G26:G32">SUM(I26*0.6)</f>
        <v>113.994</v>
      </c>
      <c r="H26" s="286">
        <f>G26*(1-'Dealer Inputs'!$D$22)*(1-'Dealer Inputs'!$H$22)*(1-'Dealer Inputs'!$L$22)</f>
        <v>85.49549999999999</v>
      </c>
      <c r="I26" s="249">
        <v>189.99</v>
      </c>
      <c r="J26" s="245">
        <f aca="true" t="shared" si="9" ref="J26:J32">SUM(C26*$G26)</f>
        <v>0</v>
      </c>
      <c r="K26" s="245">
        <f aca="true" t="shared" si="10" ref="K26:K32">SUM(D26*$G26)</f>
        <v>0</v>
      </c>
      <c r="L26" s="245">
        <f aca="true" t="shared" si="11" ref="L26:L32">SUM(E26*$G26)</f>
        <v>0</v>
      </c>
      <c r="M26" s="245">
        <f aca="true" t="shared" si="12" ref="M26:M32">SUM(C26*$H26)</f>
        <v>0</v>
      </c>
      <c r="N26" s="245">
        <f aca="true" t="shared" si="13" ref="N26:N32">SUM(D26*$H26)</f>
        <v>0</v>
      </c>
      <c r="O26" s="245">
        <f aca="true" t="shared" si="14" ref="O26:O32">SUM(E26*$H26)</f>
        <v>0</v>
      </c>
      <c r="P26" s="247">
        <f aca="true" t="shared" si="15" ref="P26:P32">H26*F26</f>
        <v>0</v>
      </c>
      <c r="Q26" s="9"/>
    </row>
    <row r="27" spans="1:17" ht="12.75">
      <c r="A27" s="210">
        <v>2128037</v>
      </c>
      <c r="B27" s="252" t="s">
        <v>25</v>
      </c>
      <c r="C27" s="242"/>
      <c r="D27" s="242"/>
      <c r="E27" s="242"/>
      <c r="F27" s="243">
        <f t="shared" si="6"/>
        <v>0</v>
      </c>
      <c r="G27" s="523">
        <f t="shared" si="8"/>
        <v>113.994</v>
      </c>
      <c r="H27" s="245">
        <f>G27*(1-'Dealer Inputs'!$D$22)*(1-'Dealer Inputs'!$H$22)*(1-'Dealer Inputs'!$L$22)</f>
        <v>85.49549999999999</v>
      </c>
      <c r="I27" s="249">
        <v>189.99</v>
      </c>
      <c r="J27" s="245">
        <f t="shared" si="9"/>
        <v>0</v>
      </c>
      <c r="K27" s="245">
        <f t="shared" si="10"/>
        <v>0</v>
      </c>
      <c r="L27" s="245">
        <f t="shared" si="11"/>
        <v>0</v>
      </c>
      <c r="M27" s="245">
        <f t="shared" si="12"/>
        <v>0</v>
      </c>
      <c r="N27" s="245">
        <f t="shared" si="13"/>
        <v>0</v>
      </c>
      <c r="O27" s="245">
        <f t="shared" si="14"/>
        <v>0</v>
      </c>
      <c r="P27" s="247">
        <f t="shared" si="15"/>
        <v>0</v>
      </c>
      <c r="Q27" s="9"/>
    </row>
    <row r="28" spans="1:17" ht="12.75">
      <c r="A28" s="303"/>
      <c r="B28" s="223" t="s">
        <v>439</v>
      </c>
      <c r="C28" s="305"/>
      <c r="D28" s="306"/>
      <c r="E28" s="306"/>
      <c r="F28" s="306"/>
      <c r="G28" s="531"/>
      <c r="H28" s="306"/>
      <c r="I28" s="306"/>
      <c r="J28" s="306"/>
      <c r="K28" s="306"/>
      <c r="L28" s="306"/>
      <c r="M28" s="306"/>
      <c r="N28" s="306"/>
      <c r="O28" s="306"/>
      <c r="P28" s="307"/>
      <c r="Q28" s="9"/>
    </row>
    <row r="29" spans="1:16" ht="12.75">
      <c r="A29" s="308">
        <v>2128038</v>
      </c>
      <c r="B29" s="317" t="s">
        <v>26</v>
      </c>
      <c r="C29" s="242"/>
      <c r="D29" s="242"/>
      <c r="E29" s="242"/>
      <c r="F29" s="243">
        <f>SUM(C29:E29)</f>
        <v>0</v>
      </c>
      <c r="G29" s="523">
        <f t="shared" si="8"/>
        <v>95.994</v>
      </c>
      <c r="H29" s="245">
        <f>G29*(1-'Dealer Inputs'!$D$22)*(1-'Dealer Inputs'!$H$22)*(1-'Dealer Inputs'!$L$22)</f>
        <v>71.99549999999999</v>
      </c>
      <c r="I29" s="249">
        <v>159.99</v>
      </c>
      <c r="J29" s="245">
        <f t="shared" si="9"/>
        <v>0</v>
      </c>
      <c r="K29" s="245">
        <f t="shared" si="10"/>
        <v>0</v>
      </c>
      <c r="L29" s="245">
        <f t="shared" si="11"/>
        <v>0</v>
      </c>
      <c r="M29" s="245">
        <f t="shared" si="12"/>
        <v>0</v>
      </c>
      <c r="N29" s="245">
        <f t="shared" si="13"/>
        <v>0</v>
      </c>
      <c r="O29" s="245">
        <f t="shared" si="14"/>
        <v>0</v>
      </c>
      <c r="P29" s="247">
        <f t="shared" si="15"/>
        <v>0</v>
      </c>
    </row>
    <row r="30" spans="1:16" ht="12.75">
      <c r="A30" s="210">
        <v>2128039</v>
      </c>
      <c r="B30" s="252" t="s">
        <v>27</v>
      </c>
      <c r="C30" s="242"/>
      <c r="D30" s="242"/>
      <c r="E30" s="242"/>
      <c r="F30" s="243">
        <f>SUM(C30:E30)</f>
        <v>0</v>
      </c>
      <c r="G30" s="523">
        <f t="shared" si="8"/>
        <v>95.994</v>
      </c>
      <c r="H30" s="245">
        <f>G30*(1-'Dealer Inputs'!$D$22)*(1-'Dealer Inputs'!$H$22)*(1-'Dealer Inputs'!$L$22)</f>
        <v>71.99549999999999</v>
      </c>
      <c r="I30" s="249">
        <v>159.99</v>
      </c>
      <c r="J30" s="245">
        <f t="shared" si="9"/>
        <v>0</v>
      </c>
      <c r="K30" s="245">
        <f t="shared" si="10"/>
        <v>0</v>
      </c>
      <c r="L30" s="245">
        <f t="shared" si="11"/>
        <v>0</v>
      </c>
      <c r="M30" s="245">
        <f t="shared" si="12"/>
        <v>0</v>
      </c>
      <c r="N30" s="245">
        <f t="shared" si="13"/>
        <v>0</v>
      </c>
      <c r="O30" s="245">
        <f t="shared" si="14"/>
        <v>0</v>
      </c>
      <c r="P30" s="247">
        <f t="shared" si="15"/>
        <v>0</v>
      </c>
    </row>
    <row r="31" spans="1:17" ht="12.75">
      <c r="A31" s="302">
        <v>2128040</v>
      </c>
      <c r="B31" s="271" t="s">
        <v>28</v>
      </c>
      <c r="C31" s="242"/>
      <c r="D31" s="242"/>
      <c r="E31" s="242"/>
      <c r="F31" s="243">
        <f>SUM(C31:E31)</f>
        <v>0</v>
      </c>
      <c r="G31" s="523">
        <f t="shared" si="8"/>
        <v>95.994</v>
      </c>
      <c r="H31" s="245">
        <f>G31*(1-'Dealer Inputs'!$D$22)*(1-'Dealer Inputs'!$H$22)*(1-'Dealer Inputs'!$L$22)</f>
        <v>71.99549999999999</v>
      </c>
      <c r="I31" s="249">
        <v>159.99</v>
      </c>
      <c r="J31" s="245">
        <f t="shared" si="9"/>
        <v>0</v>
      </c>
      <c r="K31" s="245">
        <f t="shared" si="10"/>
        <v>0</v>
      </c>
      <c r="L31" s="245">
        <f t="shared" si="11"/>
        <v>0</v>
      </c>
      <c r="M31" s="245">
        <f t="shared" si="12"/>
        <v>0</v>
      </c>
      <c r="N31" s="245">
        <f t="shared" si="13"/>
        <v>0</v>
      </c>
      <c r="O31" s="245">
        <f t="shared" si="14"/>
        <v>0</v>
      </c>
      <c r="P31" s="247">
        <f t="shared" si="15"/>
        <v>0</v>
      </c>
      <c r="Q31" s="9"/>
    </row>
    <row r="32" spans="1:16" ht="12.75">
      <c r="A32" s="210">
        <v>2128041</v>
      </c>
      <c r="B32" s="252" t="s">
        <v>29</v>
      </c>
      <c r="C32" s="242"/>
      <c r="D32" s="242"/>
      <c r="E32" s="242"/>
      <c r="F32" s="243">
        <f>SUM(C32:E32)</f>
        <v>0</v>
      </c>
      <c r="G32" s="523">
        <f t="shared" si="8"/>
        <v>95.994</v>
      </c>
      <c r="H32" s="245">
        <f>G32*(1-'Dealer Inputs'!$D$22)*(1-'Dealer Inputs'!$H$22)*(1-'Dealer Inputs'!$L$22)</f>
        <v>71.99549999999999</v>
      </c>
      <c r="I32" s="249">
        <v>159.99</v>
      </c>
      <c r="J32" s="245">
        <f t="shared" si="9"/>
        <v>0</v>
      </c>
      <c r="K32" s="245">
        <f t="shared" si="10"/>
        <v>0</v>
      </c>
      <c r="L32" s="245">
        <f t="shared" si="11"/>
        <v>0</v>
      </c>
      <c r="M32" s="245">
        <f t="shared" si="12"/>
        <v>0</v>
      </c>
      <c r="N32" s="245">
        <f t="shared" si="13"/>
        <v>0</v>
      </c>
      <c r="O32" s="245">
        <f t="shared" si="14"/>
        <v>0</v>
      </c>
      <c r="P32" s="247">
        <f t="shared" si="15"/>
        <v>0</v>
      </c>
    </row>
    <row r="33" spans="1:16" ht="19.5" customHeight="1">
      <c r="A33" s="322"/>
      <c r="B33" s="199" t="s">
        <v>440</v>
      </c>
      <c r="C33" s="323">
        <f>SUM(C4:C32)</f>
        <v>0</v>
      </c>
      <c r="D33" s="323">
        <f aca="true" t="shared" si="16" ref="D33:P33">SUM(D4:D32)</f>
        <v>0</v>
      </c>
      <c r="E33" s="323">
        <f t="shared" si="16"/>
        <v>0</v>
      </c>
      <c r="F33" s="323">
        <f t="shared" si="16"/>
        <v>0</v>
      </c>
      <c r="G33" s="532"/>
      <c r="H33" s="323"/>
      <c r="I33" s="323"/>
      <c r="J33" s="323">
        <f t="shared" si="16"/>
        <v>0</v>
      </c>
      <c r="K33" s="323">
        <f t="shared" si="16"/>
        <v>0</v>
      </c>
      <c r="L33" s="323">
        <f t="shared" si="16"/>
        <v>0</v>
      </c>
      <c r="M33" s="323">
        <f t="shared" si="16"/>
        <v>0</v>
      </c>
      <c r="N33" s="323">
        <f t="shared" si="16"/>
        <v>0</v>
      </c>
      <c r="O33" s="323">
        <f t="shared" si="16"/>
        <v>0</v>
      </c>
      <c r="P33" s="324">
        <f t="shared" si="16"/>
        <v>0</v>
      </c>
    </row>
    <row r="37" ht="7.5" customHeight="1"/>
    <row r="53" ht="8.25" customHeight="1"/>
    <row r="54" ht="24.75" customHeight="1"/>
    <row r="55" ht="13.5" customHeight="1"/>
    <row r="56" ht="6" customHeight="1"/>
    <row r="57" ht="12.75" customHeight="1"/>
    <row r="58" ht="6" customHeight="1"/>
    <row r="59" ht="12.75" customHeight="1"/>
    <row r="60" ht="6" customHeight="1"/>
    <row r="61" ht="12.75" customHeight="1"/>
    <row r="62" ht="12.75" customHeight="1"/>
    <row r="63" ht="6.75" customHeight="1"/>
    <row r="64" ht="12.75" customHeight="1"/>
    <row r="65" ht="12.75" customHeight="1"/>
    <row r="66" ht="6" customHeight="1"/>
    <row r="69" ht="6" customHeight="1"/>
  </sheetData>
  <sheetProtection/>
  <mergeCells count="1">
    <mergeCell ref="A2:P2"/>
  </mergeCells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showGridLines="0" showRowColHeaders="0" zoomScale="125" zoomScaleNormal="125" zoomScalePageLayoutView="0" workbookViewId="0" topLeftCell="A1">
      <selection activeCell="S14" sqref="S14"/>
    </sheetView>
  </sheetViews>
  <sheetFormatPr defaultColWidth="8.8515625" defaultRowHeight="12.75"/>
  <cols>
    <col min="1" max="1" width="9.28125" style="0" customWidth="1"/>
    <col min="2" max="2" width="31.00390625" style="0" customWidth="1"/>
    <col min="3" max="3" width="7.8515625" style="0" bestFit="1" customWidth="1"/>
    <col min="4" max="4" width="7.421875" style="0" customWidth="1"/>
    <col min="5" max="5" width="8.7109375" style="0" bestFit="1" customWidth="1"/>
    <col min="6" max="6" width="9.421875" style="0" customWidth="1"/>
    <col min="7" max="7" width="9.421875" style="526" bestFit="1" customWidth="1"/>
    <col min="8" max="8" width="11.00390625" style="0" hidden="1" customWidth="1"/>
    <col min="9" max="9" width="12.57421875" style="0" bestFit="1" customWidth="1"/>
    <col min="10" max="15" width="11.140625" style="0" hidden="1" customWidth="1"/>
    <col min="16" max="16" width="10.8515625" style="0" customWidth="1"/>
  </cols>
  <sheetData>
    <row r="1" spans="1:18" ht="12.75">
      <c r="A1" s="325" t="s">
        <v>315</v>
      </c>
      <c r="B1" s="326" t="s">
        <v>316</v>
      </c>
      <c r="C1" s="327" t="s">
        <v>342</v>
      </c>
      <c r="D1" s="327" t="s">
        <v>343</v>
      </c>
      <c r="E1" s="327" t="s">
        <v>344</v>
      </c>
      <c r="F1" s="328" t="s">
        <v>345</v>
      </c>
      <c r="G1" s="533" t="s">
        <v>498</v>
      </c>
      <c r="H1" s="329" t="s">
        <v>473</v>
      </c>
      <c r="I1" s="325" t="s">
        <v>499</v>
      </c>
      <c r="J1" s="326" t="s">
        <v>464</v>
      </c>
      <c r="K1" s="326" t="s">
        <v>465</v>
      </c>
      <c r="L1" s="326" t="s">
        <v>466</v>
      </c>
      <c r="M1" s="326" t="s">
        <v>467</v>
      </c>
      <c r="N1" s="326" t="s">
        <v>468</v>
      </c>
      <c r="O1" s="326" t="s">
        <v>469</v>
      </c>
      <c r="P1" s="330" t="s">
        <v>318</v>
      </c>
      <c r="Q1" s="51"/>
      <c r="R1" s="51"/>
    </row>
    <row r="2" spans="1:16" ht="18" customHeight="1">
      <c r="A2" s="659" t="s">
        <v>30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</row>
    <row r="3" spans="1:16" ht="18" customHeight="1">
      <c r="A3" s="702" t="s">
        <v>114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4"/>
    </row>
    <row r="4" spans="1:16" ht="12.75">
      <c r="A4" s="241">
        <v>2128100</v>
      </c>
      <c r="B4" s="241" t="s">
        <v>115</v>
      </c>
      <c r="C4" s="331"/>
      <c r="D4" s="331"/>
      <c r="E4" s="331"/>
      <c r="F4" s="260">
        <f>SUM(C4:E4)</f>
        <v>0</v>
      </c>
      <c r="G4" s="534">
        <f>839.99+341.97</f>
        <v>1181.96</v>
      </c>
      <c r="H4" s="332">
        <v>829.99</v>
      </c>
      <c r="I4" s="332">
        <v>1499.99</v>
      </c>
      <c r="J4" s="260"/>
      <c r="K4" s="260"/>
      <c r="L4" s="260"/>
      <c r="M4" s="260"/>
      <c r="N4" s="260"/>
      <c r="O4" s="260"/>
      <c r="P4" s="333">
        <f>H4*F4</f>
        <v>0</v>
      </c>
    </row>
    <row r="5" spans="1:16" ht="12.75">
      <c r="A5" s="241">
        <v>2128101</v>
      </c>
      <c r="B5" s="241" t="s">
        <v>116</v>
      </c>
      <c r="C5" s="331"/>
      <c r="D5" s="331"/>
      <c r="E5" s="331"/>
      <c r="F5" s="260">
        <f>SUM(C5:E5)</f>
        <v>0</v>
      </c>
      <c r="G5" s="534">
        <f>899.99+341.97</f>
        <v>1241.96</v>
      </c>
      <c r="H5" s="332">
        <v>879.99</v>
      </c>
      <c r="I5" s="332">
        <v>1599.99</v>
      </c>
      <c r="J5" s="260"/>
      <c r="K5" s="260"/>
      <c r="L5" s="260"/>
      <c r="M5" s="260"/>
      <c r="N5" s="260"/>
      <c r="O5" s="260"/>
      <c r="P5" s="333">
        <f>H5*F5</f>
        <v>0</v>
      </c>
    </row>
    <row r="6" spans="1:16" ht="12.75">
      <c r="A6" s="241">
        <v>2128102</v>
      </c>
      <c r="B6" s="241" t="s">
        <v>117</v>
      </c>
      <c r="C6" s="331"/>
      <c r="D6" s="331"/>
      <c r="E6" s="331"/>
      <c r="F6" s="260">
        <f>SUM(C6:E6)</f>
        <v>0</v>
      </c>
      <c r="G6" s="534">
        <f>959.99+341.97</f>
        <v>1301.96</v>
      </c>
      <c r="H6" s="332">
        <v>929.99</v>
      </c>
      <c r="I6" s="332">
        <v>1699.99</v>
      </c>
      <c r="J6" s="260"/>
      <c r="K6" s="260"/>
      <c r="L6" s="260"/>
      <c r="M6" s="260"/>
      <c r="N6" s="260"/>
      <c r="O6" s="260"/>
      <c r="P6" s="333">
        <f>H6*F6</f>
        <v>0</v>
      </c>
    </row>
    <row r="7" spans="1:16" ht="12.75">
      <c r="A7" s="241">
        <v>2128103</v>
      </c>
      <c r="B7" s="241" t="s">
        <v>118</v>
      </c>
      <c r="C7" s="331"/>
      <c r="D7" s="331"/>
      <c r="E7" s="331"/>
      <c r="F7" s="260">
        <f>SUM(C7:E7)</f>
        <v>0</v>
      </c>
      <c r="G7" s="534">
        <f>1019.99+341.97</f>
        <v>1361.96</v>
      </c>
      <c r="H7" s="332">
        <v>979.99</v>
      </c>
      <c r="I7" s="332">
        <v>1799.99</v>
      </c>
      <c r="J7" s="260"/>
      <c r="K7" s="260"/>
      <c r="L7" s="260"/>
      <c r="M7" s="260"/>
      <c r="N7" s="260"/>
      <c r="O7" s="260"/>
      <c r="P7" s="333">
        <f>H7*F7</f>
        <v>0</v>
      </c>
    </row>
    <row r="8" spans="1:16" ht="12.75">
      <c r="A8" s="241">
        <v>2128104</v>
      </c>
      <c r="B8" s="241" t="s">
        <v>119</v>
      </c>
      <c r="C8" s="331"/>
      <c r="D8" s="331"/>
      <c r="E8" s="331"/>
      <c r="F8" s="260">
        <f>SUM(C8:E8)</f>
        <v>0</v>
      </c>
      <c r="G8" s="535">
        <f>1079.99+341.97</f>
        <v>1421.96</v>
      </c>
      <c r="H8" s="334">
        <v>1019.99</v>
      </c>
      <c r="I8" s="334">
        <v>1899.99</v>
      </c>
      <c r="J8" s="260"/>
      <c r="K8" s="260"/>
      <c r="L8" s="260"/>
      <c r="M8" s="260"/>
      <c r="N8" s="260"/>
      <c r="O8" s="260"/>
      <c r="P8" s="333">
        <f>H8*F8</f>
        <v>0</v>
      </c>
    </row>
    <row r="9" spans="1:16" ht="12.75">
      <c r="A9" s="685" t="s">
        <v>120</v>
      </c>
      <c r="B9" s="685"/>
      <c r="C9" s="335">
        <f>SUM(C4:C8)</f>
        <v>0</v>
      </c>
      <c r="D9" s="335">
        <f>SUM(D4:D8)</f>
        <v>0</v>
      </c>
      <c r="E9" s="335">
        <f>SUM(E4:E8)</f>
        <v>0</v>
      </c>
      <c r="F9" s="236">
        <f>SUM(F4:F8)</f>
        <v>0</v>
      </c>
      <c r="G9" s="699"/>
      <c r="H9" s="700"/>
      <c r="I9" s="701"/>
      <c r="J9" s="336"/>
      <c r="K9" s="336"/>
      <c r="L9" s="336"/>
      <c r="M9" s="336"/>
      <c r="N9" s="336"/>
      <c r="O9" s="336"/>
      <c r="P9" s="337"/>
    </row>
    <row r="10" spans="1:16" ht="12.75">
      <c r="A10" s="338"/>
      <c r="B10" s="339" t="s">
        <v>31</v>
      </c>
      <c r="C10" s="237">
        <f>SUM(C4*H4)+(C5*H5)+(C6*H6)+(C7*H7)+(C8*H8)</f>
        <v>0</v>
      </c>
      <c r="D10" s="237">
        <f>SUM(D4*H4)+(D5*H5)+(D6*H6)+(D7*H7)+(D8*H8)</f>
        <v>0</v>
      </c>
      <c r="E10" s="237">
        <f>SUM(E4*H4)+(E5*H5)+(E6*H6)+(E7*H7)+(E8*H8)</f>
        <v>0</v>
      </c>
      <c r="F10" s="340"/>
      <c r="G10" s="686" t="s">
        <v>32</v>
      </c>
      <c r="H10" s="687"/>
      <c r="I10" s="688"/>
      <c r="J10" s="341"/>
      <c r="K10" s="260"/>
      <c r="L10" s="260"/>
      <c r="M10" s="260"/>
      <c r="N10" s="260"/>
      <c r="O10" s="260"/>
      <c r="P10" s="333">
        <f>SUM(P4:P8)</f>
        <v>0</v>
      </c>
    </row>
    <row r="11" spans="1:16" ht="12.75">
      <c r="A11" s="705"/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7"/>
    </row>
    <row r="12" spans="1:16" ht="12.75">
      <c r="A12" s="689" t="s">
        <v>33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1"/>
    </row>
    <row r="13" spans="1:16" ht="12.75">
      <c r="A13" s="692"/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4"/>
    </row>
    <row r="14" spans="1:16" ht="12.75">
      <c r="A14" s="223" t="s">
        <v>34</v>
      </c>
      <c r="B14" s="198" t="s">
        <v>35</v>
      </c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7"/>
    </row>
    <row r="15" spans="1:16" ht="12.75">
      <c r="A15" s="252">
        <v>2128050</v>
      </c>
      <c r="B15" s="342" t="s">
        <v>36</v>
      </c>
      <c r="C15" s="343"/>
      <c r="D15" s="343"/>
      <c r="E15" s="343"/>
      <c r="F15" s="260">
        <f>SUM(C15:E15)</f>
        <v>0</v>
      </c>
      <c r="G15" s="536"/>
      <c r="H15" s="260"/>
      <c r="I15" s="260"/>
      <c r="J15" s="260"/>
      <c r="K15" s="260"/>
      <c r="L15" s="260"/>
      <c r="M15" s="260"/>
      <c r="N15" s="260"/>
      <c r="O15" s="260"/>
      <c r="P15" s="260"/>
    </row>
    <row r="16" spans="1:16" ht="12.75">
      <c r="A16" s="344">
        <v>2128052</v>
      </c>
      <c r="B16" s="342" t="s">
        <v>37</v>
      </c>
      <c r="C16" s="343"/>
      <c r="D16" s="343"/>
      <c r="E16" s="343"/>
      <c r="F16" s="260">
        <f>SUM(C16:E16)</f>
        <v>0</v>
      </c>
      <c r="G16" s="536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16" ht="12.75">
      <c r="A17" s="685" t="s">
        <v>38</v>
      </c>
      <c r="B17" s="695"/>
      <c r="C17" s="335">
        <f>SUM(C15:C16)</f>
        <v>0</v>
      </c>
      <c r="D17" s="335">
        <f>SUM(D15:D16)</f>
        <v>0</v>
      </c>
      <c r="E17" s="335">
        <f>SUM(E15:E16)</f>
        <v>0</v>
      </c>
      <c r="F17" s="235">
        <f>SUM(C17:E17)</f>
        <v>0</v>
      </c>
      <c r="G17" s="536"/>
      <c r="H17" s="260"/>
      <c r="I17" s="260"/>
      <c r="J17" s="260"/>
      <c r="K17" s="260"/>
      <c r="L17" s="260"/>
      <c r="M17" s="260"/>
      <c r="N17" s="260"/>
      <c r="O17" s="260"/>
      <c r="P17" s="260"/>
    </row>
    <row r="18" spans="1:16" ht="12.75">
      <c r="A18" s="223" t="s">
        <v>34</v>
      </c>
      <c r="B18" s="198" t="s">
        <v>39</v>
      </c>
      <c r="C18" s="698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7"/>
    </row>
    <row r="19" spans="1:16" ht="12.75">
      <c r="A19" s="345">
        <v>2128000</v>
      </c>
      <c r="B19" s="346" t="s">
        <v>40</v>
      </c>
      <c r="C19" s="343"/>
      <c r="D19" s="343"/>
      <c r="E19" s="343"/>
      <c r="F19" s="260">
        <f>SUM(C19:E19)</f>
        <v>0</v>
      </c>
      <c r="G19" s="536"/>
      <c r="H19" s="260"/>
      <c r="I19" s="260"/>
      <c r="J19" s="260"/>
      <c r="K19" s="260"/>
      <c r="L19" s="260"/>
      <c r="M19" s="260"/>
      <c r="N19" s="260"/>
      <c r="O19" s="260"/>
      <c r="P19" s="260"/>
    </row>
    <row r="20" spans="1:16" ht="12.75" customHeight="1">
      <c r="A20" s="345">
        <v>2128001</v>
      </c>
      <c r="B20" s="346" t="s">
        <v>41</v>
      </c>
      <c r="C20" s="343"/>
      <c r="D20" s="343"/>
      <c r="E20" s="343"/>
      <c r="F20" s="260">
        <f>SUM(C20:E20)</f>
        <v>0</v>
      </c>
      <c r="G20" s="536"/>
      <c r="H20" s="260"/>
      <c r="I20" s="260"/>
      <c r="J20" s="260"/>
      <c r="K20" s="260"/>
      <c r="L20" s="260"/>
      <c r="M20" s="260"/>
      <c r="N20" s="260"/>
      <c r="O20" s="260"/>
      <c r="P20" s="260"/>
    </row>
    <row r="21" spans="1:16" ht="12.75">
      <c r="A21" s="345">
        <v>2128002</v>
      </c>
      <c r="B21" s="346" t="s">
        <v>42</v>
      </c>
      <c r="C21" s="343"/>
      <c r="D21" s="343"/>
      <c r="E21" s="343"/>
      <c r="F21" s="260">
        <f>SUM(C21:E21)</f>
        <v>0</v>
      </c>
      <c r="G21" s="536"/>
      <c r="H21" s="260"/>
      <c r="I21" s="260"/>
      <c r="J21" s="260"/>
      <c r="K21" s="260"/>
      <c r="L21" s="260"/>
      <c r="M21" s="260"/>
      <c r="N21" s="260"/>
      <c r="O21" s="260"/>
      <c r="P21" s="260"/>
    </row>
    <row r="22" spans="1:16" ht="12.75">
      <c r="A22" s="345">
        <v>2128003</v>
      </c>
      <c r="B22" s="346" t="s">
        <v>43</v>
      </c>
      <c r="C22" s="343"/>
      <c r="D22" s="343"/>
      <c r="E22" s="343"/>
      <c r="F22" s="260">
        <f>SUM(C22:E22)</f>
        <v>0</v>
      </c>
      <c r="G22" s="536"/>
      <c r="H22" s="260"/>
      <c r="I22" s="260"/>
      <c r="J22" s="260"/>
      <c r="K22" s="260"/>
      <c r="L22" s="260"/>
      <c r="M22" s="260"/>
      <c r="N22" s="260"/>
      <c r="O22" s="260"/>
      <c r="P22" s="260"/>
    </row>
    <row r="23" spans="1:16" ht="12.75" customHeight="1">
      <c r="A23" s="685" t="s">
        <v>132</v>
      </c>
      <c r="B23" s="695"/>
      <c r="C23" s="335">
        <f>SUM(C19:C22)</f>
        <v>0</v>
      </c>
      <c r="D23" s="335">
        <f>SUM(D19:D22)</f>
        <v>0</v>
      </c>
      <c r="E23" s="335">
        <f>SUM(E19:E22)</f>
        <v>0</v>
      </c>
      <c r="F23" s="235">
        <f>SUM(C23:E23)</f>
        <v>0</v>
      </c>
      <c r="G23" s="536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16" ht="12.75" customHeight="1">
      <c r="A24" s="199"/>
      <c r="B24" s="198" t="s">
        <v>133</v>
      </c>
      <c r="C24" s="698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7"/>
    </row>
    <row r="25" spans="1:16" ht="12.75" customHeight="1">
      <c r="A25" s="241">
        <v>2128004</v>
      </c>
      <c r="B25" s="241" t="s">
        <v>134</v>
      </c>
      <c r="C25" s="335">
        <f>C9</f>
        <v>0</v>
      </c>
      <c r="D25" s="335">
        <f>D9</f>
        <v>0</v>
      </c>
      <c r="E25" s="335">
        <f>E9</f>
        <v>0</v>
      </c>
      <c r="F25" s="235">
        <f>SUM(C25:E25)</f>
        <v>0</v>
      </c>
      <c r="G25" s="536"/>
      <c r="H25" s="260"/>
      <c r="I25" s="260"/>
      <c r="J25" s="260"/>
      <c r="K25" s="260"/>
      <c r="L25" s="260"/>
      <c r="M25" s="260"/>
      <c r="N25" s="260"/>
      <c r="O25" s="260"/>
      <c r="P25" s="260"/>
    </row>
    <row r="26" spans="1:16" ht="12.75" customHeight="1">
      <c r="A26" s="682" t="s">
        <v>135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4"/>
    </row>
    <row r="27" spans="1:16" ht="13.5" customHeight="1">
      <c r="A27" s="347"/>
      <c r="B27" s="347"/>
      <c r="C27" s="347"/>
      <c r="D27" s="347"/>
      <c r="E27" s="347"/>
      <c r="F27" s="347"/>
      <c r="G27" s="537"/>
      <c r="H27" s="347"/>
      <c r="I27" s="347"/>
      <c r="J27" s="347"/>
      <c r="K27" s="347"/>
      <c r="L27" s="347"/>
      <c r="M27" s="347"/>
      <c r="N27" s="347"/>
      <c r="O27" s="347"/>
      <c r="P27" s="347"/>
    </row>
    <row r="28" ht="12.75" customHeight="1"/>
    <row r="29" ht="14.25" customHeight="1"/>
    <row r="32" ht="13.5" customHeight="1"/>
    <row r="33" ht="14.25" customHeight="1"/>
    <row r="34" ht="12" customHeight="1"/>
    <row r="35" ht="12" customHeight="1"/>
    <row r="37" ht="12" customHeight="1"/>
    <row r="51" ht="13.5" customHeight="1"/>
    <row r="53" ht="11.25" customHeight="1"/>
    <row r="54" ht="11.25" customHeight="1"/>
    <row r="56" ht="6" customHeight="1"/>
    <row r="61" ht="12" customHeight="1"/>
    <row r="62" ht="6" customHeight="1">
      <c r="A62" s="34"/>
    </row>
    <row r="63" ht="12" customHeight="1">
      <c r="A63" s="34"/>
    </row>
    <row r="64" ht="12.75" customHeight="1">
      <c r="A64" s="34"/>
    </row>
    <row r="65" ht="12.75" customHeight="1">
      <c r="A65" s="34"/>
    </row>
    <row r="66" ht="12" customHeight="1">
      <c r="A66" s="34"/>
    </row>
    <row r="67" ht="12.75" customHeight="1">
      <c r="A67" s="34"/>
    </row>
    <row r="68" ht="12.75">
      <c r="A68" s="34"/>
    </row>
    <row r="69" ht="12.75">
      <c r="A69" s="34"/>
    </row>
    <row r="70" ht="12" customHeight="1">
      <c r="A70" s="34"/>
    </row>
    <row r="71" ht="6" customHeight="1">
      <c r="A71" s="34"/>
    </row>
    <row r="72" ht="12.75">
      <c r="A72" s="34"/>
    </row>
    <row r="73" ht="12.75">
      <c r="A73" s="34"/>
    </row>
    <row r="74" ht="12.75">
      <c r="A74" s="34"/>
    </row>
    <row r="75" ht="12.75" customHeight="1">
      <c r="A75" s="34"/>
    </row>
    <row r="76" ht="12.75" customHeight="1">
      <c r="A76" s="34"/>
    </row>
    <row r="77" ht="6" customHeight="1">
      <c r="A77" s="34"/>
    </row>
    <row r="78" ht="13.5" customHeight="1">
      <c r="A78" s="34"/>
    </row>
    <row r="79" ht="12.75" customHeight="1">
      <c r="A79" s="34"/>
    </row>
    <row r="80" ht="12.75" customHeight="1">
      <c r="A80" s="34"/>
    </row>
    <row r="81" ht="12.75">
      <c r="A81" s="34"/>
    </row>
    <row r="82" ht="12.75">
      <c r="A82" s="34"/>
    </row>
    <row r="83" ht="13.5" customHeight="1">
      <c r="A83" s="34"/>
    </row>
    <row r="84" ht="12.75" customHeight="1">
      <c r="A84" s="34"/>
    </row>
    <row r="85" ht="15" customHeight="1">
      <c r="A85" s="34"/>
    </row>
    <row r="86" ht="6" customHeight="1">
      <c r="A86" s="34"/>
    </row>
    <row r="87" ht="12.75" customHeight="1">
      <c r="A87" s="34"/>
    </row>
    <row r="88" ht="12.75" customHeight="1">
      <c r="A88" s="34"/>
    </row>
    <row r="89" ht="12.75" customHeight="1">
      <c r="A89" s="34"/>
    </row>
    <row r="90" ht="12.75">
      <c r="A90" s="34"/>
    </row>
    <row r="91" ht="6" customHeight="1">
      <c r="A91" s="34"/>
    </row>
    <row r="92" ht="12.75">
      <c r="A92" s="34"/>
    </row>
    <row r="93" ht="13.5" customHeight="1">
      <c r="A93" s="34"/>
    </row>
    <row r="94" ht="12.75">
      <c r="A94" s="34"/>
    </row>
    <row r="95" ht="12.75">
      <c r="A95" s="34"/>
    </row>
    <row r="96" ht="12.75">
      <c r="A96" s="34"/>
    </row>
    <row r="97" ht="12.75" customHeight="1">
      <c r="A97" s="34"/>
    </row>
    <row r="98" ht="12.75">
      <c r="A98" s="34"/>
    </row>
    <row r="99" ht="3.75" customHeight="1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3.75" customHeight="1">
      <c r="A104" s="34"/>
    </row>
    <row r="105" ht="12.75" customHeight="1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3.75" customHeight="1">
      <c r="A112" s="34"/>
    </row>
    <row r="113" ht="12.75">
      <c r="A113" s="34"/>
    </row>
    <row r="114" ht="12.75" customHeight="1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3.5" customHeight="1">
      <c r="A119" s="34"/>
    </row>
    <row r="120" ht="3.75" customHeight="1">
      <c r="A120" s="34"/>
    </row>
    <row r="121" ht="12.75">
      <c r="A121" s="34"/>
    </row>
    <row r="122" ht="12.75">
      <c r="A122" s="34"/>
    </row>
    <row r="123" ht="12.75">
      <c r="A123" s="34"/>
    </row>
    <row r="124" ht="12.75" customHeight="1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4.5" customHeight="1"/>
    <row r="134" ht="6" customHeight="1"/>
    <row r="139" ht="6" customHeight="1"/>
  </sheetData>
  <sheetProtection/>
  <mergeCells count="13">
    <mergeCell ref="A2:P2"/>
    <mergeCell ref="A3:P3"/>
    <mergeCell ref="A11:P11"/>
    <mergeCell ref="A26:P26"/>
    <mergeCell ref="A9:B9"/>
    <mergeCell ref="G10:I10"/>
    <mergeCell ref="A12:P13"/>
    <mergeCell ref="A17:B17"/>
    <mergeCell ref="A23:B23"/>
    <mergeCell ref="C14:P14"/>
    <mergeCell ref="C18:P18"/>
    <mergeCell ref="C24:P24"/>
    <mergeCell ref="G9:I9"/>
  </mergeCells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RowColHeaders="0" zoomScale="125" zoomScaleNormal="125" zoomScalePageLayoutView="0" workbookViewId="0" topLeftCell="A1">
      <selection activeCell="P19" sqref="P19"/>
    </sheetView>
  </sheetViews>
  <sheetFormatPr defaultColWidth="8.8515625" defaultRowHeight="12.75"/>
  <cols>
    <col min="1" max="1" width="9.8515625" style="0" bestFit="1" customWidth="1"/>
    <col min="2" max="2" width="26.00390625" style="0" bestFit="1" customWidth="1"/>
    <col min="3" max="3" width="7.140625" style="0" customWidth="1"/>
    <col min="4" max="4" width="7.421875" style="0" customWidth="1"/>
    <col min="5" max="5" width="6.8515625" style="0" customWidth="1"/>
    <col min="6" max="6" width="9.421875" style="0" customWidth="1"/>
    <col min="7" max="7" width="9.140625" style="526" customWidth="1"/>
    <col min="8" max="8" width="11.00390625" style="0" hidden="1" customWidth="1"/>
    <col min="9" max="9" width="12.57421875" style="0" bestFit="1" customWidth="1"/>
    <col min="10" max="15" width="6.8515625" style="0" hidden="1" customWidth="1"/>
    <col min="16" max="16" width="11.00390625" style="0" bestFit="1" customWidth="1"/>
  </cols>
  <sheetData>
    <row r="1" spans="1:18" s="208" customFormat="1" ht="18.75" customHeight="1" thickBot="1">
      <c r="A1" s="290" t="s">
        <v>315</v>
      </c>
      <c r="B1" s="291" t="s">
        <v>316</v>
      </c>
      <c r="C1" s="292" t="s">
        <v>342</v>
      </c>
      <c r="D1" s="292" t="s">
        <v>343</v>
      </c>
      <c r="E1" s="292" t="s">
        <v>344</v>
      </c>
      <c r="F1" s="293" t="s">
        <v>345</v>
      </c>
      <c r="G1" s="529" t="s">
        <v>498</v>
      </c>
      <c r="H1" s="294" t="s">
        <v>473</v>
      </c>
      <c r="I1" s="295" t="s">
        <v>499</v>
      </c>
      <c r="J1" s="291" t="s">
        <v>464</v>
      </c>
      <c r="K1" s="291" t="s">
        <v>465</v>
      </c>
      <c r="L1" s="291" t="s">
        <v>466</v>
      </c>
      <c r="M1" s="291" t="s">
        <v>467</v>
      </c>
      <c r="N1" s="291" t="s">
        <v>468</v>
      </c>
      <c r="O1" s="291" t="s">
        <v>469</v>
      </c>
      <c r="P1" s="296" t="s">
        <v>318</v>
      </c>
      <c r="Q1" s="207"/>
      <c r="R1" s="207"/>
    </row>
    <row r="2" spans="1:16" ht="24" customHeight="1">
      <c r="A2" s="708" t="s">
        <v>136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ht="15" customHeight="1">
      <c r="A3" s="709" t="s">
        <v>137</v>
      </c>
      <c r="B3" s="710"/>
      <c r="C3" s="710"/>
      <c r="D3" s="710"/>
      <c r="E3" s="710"/>
      <c r="F3" s="710"/>
      <c r="G3" s="710"/>
      <c r="H3" s="710"/>
      <c r="I3" s="188"/>
      <c r="J3" s="188"/>
      <c r="K3" s="188"/>
      <c r="L3" s="188"/>
      <c r="M3" s="188"/>
      <c r="N3" s="188"/>
      <c r="O3" s="188"/>
      <c r="P3" s="188"/>
    </row>
    <row r="4" spans="1:16" ht="15.75" customHeight="1">
      <c r="A4" s="348">
        <v>2128012</v>
      </c>
      <c r="B4" s="252" t="s">
        <v>138</v>
      </c>
      <c r="C4" s="242"/>
      <c r="D4" s="242"/>
      <c r="E4" s="242"/>
      <c r="F4" s="243">
        <f>SUM(C4:E4)</f>
        <v>0</v>
      </c>
      <c r="G4" s="523">
        <f aca="true" t="shared" si="0" ref="G4:G15">SUM(I4*0.5)</f>
        <v>74.995</v>
      </c>
      <c r="H4" s="245">
        <f>G4*(1-'Dealer Inputs'!$D$22)*(1-'Dealer Inputs'!$H$22)*(1-'Dealer Inputs'!$L$22)</f>
        <v>56.24625</v>
      </c>
      <c r="I4" s="349">
        <v>149.99</v>
      </c>
      <c r="J4" s="273">
        <f>SUM(C4*$G4)</f>
        <v>0</v>
      </c>
      <c r="K4" s="273">
        <f aca="true" t="shared" si="1" ref="K4:K9">SUM(D4*$G4)</f>
        <v>0</v>
      </c>
      <c r="L4" s="273">
        <f aca="true" t="shared" si="2" ref="L4:L9">SUM(E4*$G4)</f>
        <v>0</v>
      </c>
      <c r="M4" s="273">
        <f>SUM(C4*$H4)</f>
        <v>0</v>
      </c>
      <c r="N4" s="273">
        <f aca="true" t="shared" si="3" ref="N4:N9">SUM(D4*$H4)</f>
        <v>0</v>
      </c>
      <c r="O4" s="273">
        <f aca="true" t="shared" si="4" ref="O4:O9">SUM(E4*$H4)</f>
        <v>0</v>
      </c>
      <c r="P4" s="274">
        <f aca="true" t="shared" si="5" ref="P4:P15">H4*F4</f>
        <v>0</v>
      </c>
    </row>
    <row r="5" spans="1:16" ht="12.75">
      <c r="A5" s="209">
        <v>2128013</v>
      </c>
      <c r="B5" s="252" t="s">
        <v>139</v>
      </c>
      <c r="C5" s="242"/>
      <c r="D5" s="242"/>
      <c r="E5" s="242"/>
      <c r="F5" s="243">
        <f aca="true" t="shared" si="6" ref="F5:F15">SUM(C5:E5)</f>
        <v>0</v>
      </c>
      <c r="G5" s="523">
        <f t="shared" si="0"/>
        <v>74.995</v>
      </c>
      <c r="H5" s="245">
        <f>G5*(1-'Dealer Inputs'!$D$22)*(1-'Dealer Inputs'!$H$22)*(1-'Dealer Inputs'!$L$22)</f>
        <v>56.24625</v>
      </c>
      <c r="I5" s="349">
        <v>149.99</v>
      </c>
      <c r="J5" s="273">
        <f>SUM(C5*$G5)</f>
        <v>0</v>
      </c>
      <c r="K5" s="273">
        <f t="shared" si="1"/>
        <v>0</v>
      </c>
      <c r="L5" s="273">
        <f t="shared" si="2"/>
        <v>0</v>
      </c>
      <c r="M5" s="273">
        <f>SUM(C5*$H5)</f>
        <v>0</v>
      </c>
      <c r="N5" s="273">
        <f t="shared" si="3"/>
        <v>0</v>
      </c>
      <c r="O5" s="273">
        <f t="shared" si="4"/>
        <v>0</v>
      </c>
      <c r="P5" s="274">
        <f t="shared" si="5"/>
        <v>0</v>
      </c>
    </row>
    <row r="6" spans="1:16" ht="12.75">
      <c r="A6" s="350"/>
      <c r="B6" s="217" t="s">
        <v>45</v>
      </c>
      <c r="C6" s="351"/>
      <c r="D6" s="351"/>
      <c r="E6" s="351"/>
      <c r="F6" s="351"/>
      <c r="G6" s="537"/>
      <c r="H6" s="351"/>
      <c r="I6" s="351"/>
      <c r="J6" s="351"/>
      <c r="K6" s="351"/>
      <c r="L6" s="351"/>
      <c r="M6" s="351"/>
      <c r="N6" s="351"/>
      <c r="O6" s="351"/>
      <c r="P6" s="351"/>
    </row>
    <row r="7" spans="1:16" ht="13.5" customHeight="1">
      <c r="A7" s="348">
        <v>2128014</v>
      </c>
      <c r="B7" s="252" t="s">
        <v>46</v>
      </c>
      <c r="C7" s="242"/>
      <c r="D7" s="242"/>
      <c r="E7" s="242"/>
      <c r="F7" s="243">
        <f t="shared" si="6"/>
        <v>0</v>
      </c>
      <c r="G7" s="523">
        <f t="shared" si="0"/>
        <v>69.995</v>
      </c>
      <c r="H7" s="245">
        <f>G7*(1-'Dealer Inputs'!$D$22)*(1-'Dealer Inputs'!$H$22)*(1-'Dealer Inputs'!$L$22)</f>
        <v>52.49625</v>
      </c>
      <c r="I7" s="349">
        <v>139.99</v>
      </c>
      <c r="J7" s="273">
        <f>SUM(C7*$G7)</f>
        <v>0</v>
      </c>
      <c r="K7" s="273">
        <f t="shared" si="1"/>
        <v>0</v>
      </c>
      <c r="L7" s="273">
        <f t="shared" si="2"/>
        <v>0</v>
      </c>
      <c r="M7" s="273">
        <f>SUM(C7*$H7)</f>
        <v>0</v>
      </c>
      <c r="N7" s="273">
        <f t="shared" si="3"/>
        <v>0</v>
      </c>
      <c r="O7" s="273">
        <f t="shared" si="4"/>
        <v>0</v>
      </c>
      <c r="P7" s="274">
        <f t="shared" si="5"/>
        <v>0</v>
      </c>
    </row>
    <row r="8" spans="1:16" ht="12.75">
      <c r="A8" s="209">
        <v>2128015</v>
      </c>
      <c r="B8" s="252" t="s">
        <v>47</v>
      </c>
      <c r="C8" s="242"/>
      <c r="D8" s="242"/>
      <c r="E8" s="242"/>
      <c r="F8" s="243">
        <f t="shared" si="6"/>
        <v>0</v>
      </c>
      <c r="G8" s="523">
        <f t="shared" si="0"/>
        <v>69.995</v>
      </c>
      <c r="H8" s="245">
        <f>G8*(1-'Dealer Inputs'!$D$22)*(1-'Dealer Inputs'!$H$22)*(1-'Dealer Inputs'!$L$22)</f>
        <v>52.49625</v>
      </c>
      <c r="I8" s="349">
        <v>139.99</v>
      </c>
      <c r="J8" s="273"/>
      <c r="K8" s="273"/>
      <c r="L8" s="273"/>
      <c r="M8" s="273"/>
      <c r="N8" s="273"/>
      <c r="O8" s="273"/>
      <c r="P8" s="274">
        <f t="shared" si="5"/>
        <v>0</v>
      </c>
    </row>
    <row r="9" spans="1:16" ht="13.5" customHeight="1">
      <c r="A9" s="352">
        <v>2128016</v>
      </c>
      <c r="B9" s="271" t="s">
        <v>48</v>
      </c>
      <c r="C9" s="242"/>
      <c r="D9" s="242"/>
      <c r="E9" s="242"/>
      <c r="F9" s="243">
        <f t="shared" si="6"/>
        <v>0</v>
      </c>
      <c r="G9" s="523">
        <f t="shared" si="0"/>
        <v>69.995</v>
      </c>
      <c r="H9" s="245">
        <f>G9*(1-'Dealer Inputs'!$D$22)*(1-'Dealer Inputs'!$H$22)*(1-'Dealer Inputs'!$L$22)</f>
        <v>52.49625</v>
      </c>
      <c r="I9" s="349">
        <v>139.99</v>
      </c>
      <c r="J9" s="273">
        <f>SUM(C9*$G9)</f>
        <v>0</v>
      </c>
      <c r="K9" s="273">
        <f t="shared" si="1"/>
        <v>0</v>
      </c>
      <c r="L9" s="273">
        <f t="shared" si="2"/>
        <v>0</v>
      </c>
      <c r="M9" s="273">
        <f>SUM(C9*$H9)</f>
        <v>0</v>
      </c>
      <c r="N9" s="273">
        <f t="shared" si="3"/>
        <v>0</v>
      </c>
      <c r="O9" s="273">
        <f t="shared" si="4"/>
        <v>0</v>
      </c>
      <c r="P9" s="274">
        <f t="shared" si="5"/>
        <v>0</v>
      </c>
    </row>
    <row r="10" spans="1:16" ht="12.75">
      <c r="A10" s="209">
        <v>2128017</v>
      </c>
      <c r="B10" s="252" t="s">
        <v>49</v>
      </c>
      <c r="C10" s="242"/>
      <c r="D10" s="242"/>
      <c r="E10" s="242"/>
      <c r="F10" s="243">
        <f t="shared" si="6"/>
        <v>0</v>
      </c>
      <c r="G10" s="523">
        <f t="shared" si="0"/>
        <v>69.995</v>
      </c>
      <c r="H10" s="245">
        <f>G10*(1-'Dealer Inputs'!$D$22)*(1-'Dealer Inputs'!$H$22)*(1-'Dealer Inputs'!$L$22)</f>
        <v>52.49625</v>
      </c>
      <c r="I10" s="349">
        <v>139.99</v>
      </c>
      <c r="J10" s="273"/>
      <c r="K10" s="273"/>
      <c r="L10" s="273"/>
      <c r="M10" s="273"/>
      <c r="N10" s="273"/>
      <c r="O10" s="273"/>
      <c r="P10" s="274">
        <f t="shared" si="5"/>
        <v>0</v>
      </c>
    </row>
    <row r="11" spans="1:16" ht="13.5" customHeight="1">
      <c r="A11" s="350"/>
      <c r="B11" s="217" t="s">
        <v>50</v>
      </c>
      <c r="C11" s="351"/>
      <c r="D11" s="351"/>
      <c r="E11" s="351"/>
      <c r="F11" s="351"/>
      <c r="G11" s="537"/>
      <c r="H11" s="351"/>
      <c r="I11" s="351"/>
      <c r="J11" s="351"/>
      <c r="K11" s="351"/>
      <c r="L11" s="351"/>
      <c r="M11" s="351"/>
      <c r="N11" s="351"/>
      <c r="O11" s="351"/>
      <c r="P11" s="351"/>
    </row>
    <row r="12" spans="1:16" ht="12.75">
      <c r="A12" s="348">
        <v>2128018</v>
      </c>
      <c r="B12" s="252" t="s">
        <v>51</v>
      </c>
      <c r="C12" s="242"/>
      <c r="D12" s="242"/>
      <c r="E12" s="242"/>
      <c r="F12" s="243">
        <f t="shared" si="6"/>
        <v>0</v>
      </c>
      <c r="G12" s="523">
        <f t="shared" si="0"/>
        <v>74.995</v>
      </c>
      <c r="H12" s="245">
        <f>G12*(1-'Dealer Inputs'!$D$22)*(1-'Dealer Inputs'!$H$22)*(1-'Dealer Inputs'!$L$22)</f>
        <v>56.24625</v>
      </c>
      <c r="I12" s="349">
        <v>149.99</v>
      </c>
      <c r="J12" s="273"/>
      <c r="K12" s="273"/>
      <c r="L12" s="273"/>
      <c r="M12" s="273"/>
      <c r="N12" s="273"/>
      <c r="O12" s="273"/>
      <c r="P12" s="274">
        <f t="shared" si="5"/>
        <v>0</v>
      </c>
    </row>
    <row r="13" spans="1:16" ht="12.75">
      <c r="A13" s="209">
        <v>2128019</v>
      </c>
      <c r="B13" s="252" t="s">
        <v>52</v>
      </c>
      <c r="C13" s="242"/>
      <c r="D13" s="242"/>
      <c r="E13" s="242"/>
      <c r="F13" s="243">
        <f t="shared" si="6"/>
        <v>0</v>
      </c>
      <c r="G13" s="523">
        <f t="shared" si="0"/>
        <v>74.995</v>
      </c>
      <c r="H13" s="245">
        <f>G13*(1-'Dealer Inputs'!$D$22)*(1-'Dealer Inputs'!$H$22)*(1-'Dealer Inputs'!$L$22)</f>
        <v>56.24625</v>
      </c>
      <c r="I13" s="349">
        <v>149.99</v>
      </c>
      <c r="J13" s="273">
        <f>SUM(C13*$G13)</f>
        <v>0</v>
      </c>
      <c r="K13" s="273">
        <f>SUM(D13*$G13)</f>
        <v>0</v>
      </c>
      <c r="L13" s="273">
        <f>SUM(E13*$G13)</f>
        <v>0</v>
      </c>
      <c r="M13" s="273">
        <f>SUM(C13*$H13)</f>
        <v>0</v>
      </c>
      <c r="N13" s="273">
        <f>SUM(D13*$H13)</f>
        <v>0</v>
      </c>
      <c r="O13" s="273">
        <f>SUM(E13*$H13)</f>
        <v>0</v>
      </c>
      <c r="P13" s="274">
        <f t="shared" si="5"/>
        <v>0</v>
      </c>
    </row>
    <row r="14" spans="1:16" ht="12.75">
      <c r="A14" s="352">
        <v>2128020</v>
      </c>
      <c r="B14" s="271" t="s">
        <v>53</v>
      </c>
      <c r="C14" s="242"/>
      <c r="D14" s="242"/>
      <c r="E14" s="242"/>
      <c r="F14" s="243">
        <f t="shared" si="6"/>
        <v>0</v>
      </c>
      <c r="G14" s="523">
        <f t="shared" si="0"/>
        <v>74.995</v>
      </c>
      <c r="H14" s="245">
        <f>G14*(1-'Dealer Inputs'!$D$22)*(1-'Dealer Inputs'!$H$22)*(1-'Dealer Inputs'!$L$22)</f>
        <v>56.24625</v>
      </c>
      <c r="I14" s="349">
        <v>149.99</v>
      </c>
      <c r="J14" s="273"/>
      <c r="K14" s="273"/>
      <c r="L14" s="273"/>
      <c r="M14" s="273"/>
      <c r="N14" s="273"/>
      <c r="O14" s="273"/>
      <c r="P14" s="274">
        <f t="shared" si="5"/>
        <v>0</v>
      </c>
    </row>
    <row r="15" spans="1:16" ht="12.75">
      <c r="A15" s="209">
        <v>2128021</v>
      </c>
      <c r="B15" s="252" t="s">
        <v>54</v>
      </c>
      <c r="C15" s="242"/>
      <c r="D15" s="242"/>
      <c r="E15" s="242"/>
      <c r="F15" s="243">
        <f t="shared" si="6"/>
        <v>0</v>
      </c>
      <c r="G15" s="523">
        <f t="shared" si="0"/>
        <v>74.995</v>
      </c>
      <c r="H15" s="245">
        <f>G15*(1-'Dealer Inputs'!$D$22)*(1-'Dealer Inputs'!$H$22)*(1-'Dealer Inputs'!$L$22)</f>
        <v>56.24625</v>
      </c>
      <c r="I15" s="349">
        <v>149.99</v>
      </c>
      <c r="J15" s="273">
        <f>SUM(C15*$G15)</f>
        <v>0</v>
      </c>
      <c r="K15" s="273">
        <f>SUM(D15*$G15)</f>
        <v>0</v>
      </c>
      <c r="L15" s="273">
        <f>SUM(E15*$G15)</f>
        <v>0</v>
      </c>
      <c r="M15" s="273">
        <f>SUM(C15*$H15)</f>
        <v>0</v>
      </c>
      <c r="N15" s="273">
        <f>SUM(D15*$H15)</f>
        <v>0</v>
      </c>
      <c r="O15" s="273">
        <f>SUM(E15*$H15)</f>
        <v>0</v>
      </c>
      <c r="P15" s="274">
        <f t="shared" si="5"/>
        <v>0</v>
      </c>
    </row>
    <row r="16" spans="1:16" ht="16.5" customHeight="1">
      <c r="A16" s="353"/>
      <c r="B16" s="199" t="s">
        <v>55</v>
      </c>
      <c r="C16" s="354">
        <f>SUM(C4:C15)</f>
        <v>0</v>
      </c>
      <c r="D16" s="354">
        <f>SUM(D4:D15)</f>
        <v>0</v>
      </c>
      <c r="E16" s="354">
        <f>SUM(E4:E15)</f>
        <v>0</v>
      </c>
      <c r="F16" s="354">
        <f>SUM(F4:F15)</f>
        <v>0</v>
      </c>
      <c r="G16" s="711"/>
      <c r="H16" s="711"/>
      <c r="I16" s="711"/>
      <c r="J16" s="355"/>
      <c r="K16" s="355"/>
      <c r="L16" s="355"/>
      <c r="M16" s="355"/>
      <c r="N16" s="355"/>
      <c r="O16" s="355"/>
      <c r="P16" s="356">
        <f>SUM(P4:P15)</f>
        <v>0</v>
      </c>
    </row>
    <row r="23" ht="13.5" customHeight="1"/>
    <row r="24" ht="11.25" customHeight="1"/>
    <row r="25" ht="14.25" customHeight="1"/>
    <row r="26" ht="4.5" customHeight="1"/>
    <row r="27" ht="13.5" customHeight="1"/>
    <row r="28" ht="12.75" customHeight="1"/>
    <row r="29" ht="4.5" customHeight="1"/>
    <row r="30" ht="12.75" customHeight="1"/>
    <row r="31" ht="4.5" customHeight="1"/>
    <row r="32" ht="15.75" customHeight="1"/>
    <row r="33" ht="4.5" customHeight="1"/>
    <row r="34" ht="15" customHeight="1"/>
    <row r="35" ht="15" customHeight="1"/>
    <row r="36" ht="14.25" customHeight="1"/>
    <row r="37" ht="4.5" customHeight="1"/>
    <row r="38" ht="14.25" customHeight="1"/>
    <row r="39" ht="4.5" customHeight="1"/>
    <row r="40" ht="14.25" customHeight="1"/>
    <row r="41" ht="6" customHeight="1"/>
    <row r="42" ht="13.5" customHeight="1"/>
    <row r="43" ht="13.5" customHeight="1"/>
    <row r="44" ht="4.5" customHeight="1"/>
    <row r="45" ht="14.25" customHeight="1"/>
    <row r="46" ht="12" customHeight="1"/>
    <row r="47" ht="12" customHeight="1"/>
    <row r="48" ht="12" customHeight="1"/>
    <row r="49" ht="5.25" customHeight="1"/>
    <row r="50" ht="12" customHeight="1"/>
    <row r="52" ht="5.25" customHeight="1"/>
    <row r="55" ht="4.5" customHeight="1"/>
  </sheetData>
  <sheetProtection/>
  <mergeCells count="3">
    <mergeCell ref="A2:P2"/>
    <mergeCell ref="A3:H3"/>
    <mergeCell ref="G16:I16"/>
  </mergeCells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RowColHeaders="0" zoomScalePageLayoutView="0" workbookViewId="0" topLeftCell="A1">
      <selection activeCell="Q10" sqref="Q10"/>
    </sheetView>
  </sheetViews>
  <sheetFormatPr defaultColWidth="8.8515625" defaultRowHeight="12.75"/>
  <cols>
    <col min="1" max="1" width="9.28125" style="0" bestFit="1" customWidth="1"/>
    <col min="2" max="2" width="29.140625" style="0" customWidth="1"/>
    <col min="3" max="3" width="7.140625" style="0" customWidth="1"/>
    <col min="4" max="4" width="6.421875" style="0" customWidth="1"/>
    <col min="5" max="5" width="6.8515625" style="0" customWidth="1"/>
    <col min="6" max="6" width="9.421875" style="0" customWidth="1"/>
    <col min="7" max="7" width="8.7109375" style="526" customWidth="1"/>
    <col min="8" max="8" width="11.00390625" style="0" hidden="1" customWidth="1"/>
    <col min="9" max="9" width="10.28125" style="0" bestFit="1" customWidth="1"/>
    <col min="10" max="15" width="7.7109375" style="0" hidden="1" customWidth="1"/>
    <col min="16" max="16" width="10.8515625" style="0" bestFit="1" customWidth="1"/>
  </cols>
  <sheetData>
    <row r="1" spans="1:18" ht="18" customHeight="1" thickBot="1">
      <c r="A1" s="201" t="s">
        <v>315</v>
      </c>
      <c r="B1" s="202" t="s">
        <v>316</v>
      </c>
      <c r="C1" s="203" t="s">
        <v>342</v>
      </c>
      <c r="D1" s="203" t="s">
        <v>343</v>
      </c>
      <c r="E1" s="203" t="s">
        <v>344</v>
      </c>
      <c r="F1" s="23" t="s">
        <v>345</v>
      </c>
      <c r="G1" s="538" t="s">
        <v>498</v>
      </c>
      <c r="H1" s="204" t="s">
        <v>473</v>
      </c>
      <c r="I1" s="205" t="s">
        <v>499</v>
      </c>
      <c r="J1" s="202" t="s">
        <v>464</v>
      </c>
      <c r="K1" s="202" t="s">
        <v>465</v>
      </c>
      <c r="L1" s="202" t="s">
        <v>466</v>
      </c>
      <c r="M1" s="202" t="s">
        <v>467</v>
      </c>
      <c r="N1" s="202" t="s">
        <v>468</v>
      </c>
      <c r="O1" s="202" t="s">
        <v>469</v>
      </c>
      <c r="P1" s="206" t="s">
        <v>318</v>
      </c>
      <c r="Q1" s="51"/>
      <c r="R1" s="51"/>
    </row>
    <row r="2" spans="1:16" ht="19.5" customHeight="1">
      <c r="A2" s="708" t="s">
        <v>436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ht="15.75" customHeight="1">
      <c r="A3" s="357">
        <v>2125448</v>
      </c>
      <c r="B3" s="357" t="s">
        <v>219</v>
      </c>
      <c r="C3" s="272"/>
      <c r="D3" s="242"/>
      <c r="E3" s="242"/>
      <c r="F3" s="243">
        <f aca="true" t="shared" si="0" ref="F3:F36">SUM(C3:E3)</f>
        <v>0</v>
      </c>
      <c r="G3" s="523">
        <f>SUM(I3*0.6)</f>
        <v>29.994</v>
      </c>
      <c r="H3" s="245">
        <f>G3*(1-'Dealer Inputs'!$H$22)*(1-'Dealer Inputs'!$L$22)</f>
        <v>22.4955</v>
      </c>
      <c r="I3" s="358">
        <v>49.99</v>
      </c>
      <c r="J3" s="273">
        <f aca="true" t="shared" si="1" ref="J3:J14">SUM(C3*$G3)</f>
        <v>0</v>
      </c>
      <c r="K3" s="273">
        <f aca="true" t="shared" si="2" ref="K3:K14">SUM(D3*$G3)</f>
        <v>0</v>
      </c>
      <c r="L3" s="273">
        <f aca="true" t="shared" si="3" ref="L3:L14">SUM(E3*$G3)</f>
        <v>0</v>
      </c>
      <c r="M3" s="273">
        <f aca="true" t="shared" si="4" ref="M3:M14">SUM(C3*$H3)</f>
        <v>0</v>
      </c>
      <c r="N3" s="273">
        <f aca="true" t="shared" si="5" ref="N3:N14">SUM(D3*$H3)</f>
        <v>0</v>
      </c>
      <c r="O3" s="273">
        <f aca="true" t="shared" si="6" ref="O3:O14">SUM(E3*$H3)</f>
        <v>0</v>
      </c>
      <c r="P3" s="274">
        <f aca="true" t="shared" si="7" ref="P3:P36">H3*F3</f>
        <v>0</v>
      </c>
    </row>
    <row r="4" spans="1:16" ht="12.75">
      <c r="A4" s="357">
        <v>2125449</v>
      </c>
      <c r="B4" s="357" t="s">
        <v>220</v>
      </c>
      <c r="C4" s="272"/>
      <c r="D4" s="242"/>
      <c r="E4" s="242"/>
      <c r="F4" s="243">
        <f t="shared" si="0"/>
        <v>0</v>
      </c>
      <c r="G4" s="523">
        <f aca="true" t="shared" si="8" ref="G4:G36">SUM(I4*0.6)</f>
        <v>29.994</v>
      </c>
      <c r="H4" s="245">
        <f>G4*(1-'Dealer Inputs'!$H$22)*(1-'Dealer Inputs'!$L$22)</f>
        <v>22.4955</v>
      </c>
      <c r="I4" s="358">
        <v>49.99</v>
      </c>
      <c r="J4" s="273">
        <f t="shared" si="1"/>
        <v>0</v>
      </c>
      <c r="K4" s="273">
        <f t="shared" si="2"/>
        <v>0</v>
      </c>
      <c r="L4" s="273">
        <f t="shared" si="3"/>
        <v>0</v>
      </c>
      <c r="M4" s="273">
        <f t="shared" si="4"/>
        <v>0</v>
      </c>
      <c r="N4" s="273">
        <f t="shared" si="5"/>
        <v>0</v>
      </c>
      <c r="O4" s="273">
        <f t="shared" si="6"/>
        <v>0</v>
      </c>
      <c r="P4" s="274">
        <f t="shared" si="7"/>
        <v>0</v>
      </c>
    </row>
    <row r="5" spans="1:16" ht="13.5" customHeight="1">
      <c r="A5" s="357">
        <v>2125450</v>
      </c>
      <c r="B5" s="357" t="s">
        <v>221</v>
      </c>
      <c r="C5" s="272"/>
      <c r="D5" s="242"/>
      <c r="E5" s="242"/>
      <c r="F5" s="243">
        <f t="shared" si="0"/>
        <v>0</v>
      </c>
      <c r="G5" s="523">
        <f t="shared" si="8"/>
        <v>29.994</v>
      </c>
      <c r="H5" s="245">
        <f>G5*(1-'Dealer Inputs'!$H$22)*(1-'Dealer Inputs'!$L$22)</f>
        <v>22.4955</v>
      </c>
      <c r="I5" s="358">
        <v>49.99</v>
      </c>
      <c r="J5" s="273">
        <f t="shared" si="1"/>
        <v>0</v>
      </c>
      <c r="K5" s="273">
        <f t="shared" si="2"/>
        <v>0</v>
      </c>
      <c r="L5" s="273">
        <f t="shared" si="3"/>
        <v>0</v>
      </c>
      <c r="M5" s="273">
        <f t="shared" si="4"/>
        <v>0</v>
      </c>
      <c r="N5" s="273">
        <f t="shared" si="5"/>
        <v>0</v>
      </c>
      <c r="O5" s="273">
        <f t="shared" si="6"/>
        <v>0</v>
      </c>
      <c r="P5" s="274">
        <f t="shared" si="7"/>
        <v>0</v>
      </c>
    </row>
    <row r="6" spans="1:16" ht="12.75">
      <c r="A6" s="357">
        <v>2125451</v>
      </c>
      <c r="B6" s="357" t="s">
        <v>222</v>
      </c>
      <c r="C6" s="272"/>
      <c r="D6" s="242"/>
      <c r="E6" s="242"/>
      <c r="F6" s="243">
        <f t="shared" si="0"/>
        <v>0</v>
      </c>
      <c r="G6" s="523">
        <f t="shared" si="8"/>
        <v>29.994</v>
      </c>
      <c r="H6" s="245">
        <f>G6*(1-'Dealer Inputs'!$H$22)*(1-'Dealer Inputs'!$L$22)</f>
        <v>22.4955</v>
      </c>
      <c r="I6" s="358">
        <v>49.99</v>
      </c>
      <c r="J6" s="273">
        <f t="shared" si="1"/>
        <v>0</v>
      </c>
      <c r="K6" s="273">
        <f t="shared" si="2"/>
        <v>0</v>
      </c>
      <c r="L6" s="273">
        <f t="shared" si="3"/>
        <v>0</v>
      </c>
      <c r="M6" s="273">
        <f t="shared" si="4"/>
        <v>0</v>
      </c>
      <c r="N6" s="273">
        <f t="shared" si="5"/>
        <v>0</v>
      </c>
      <c r="O6" s="273">
        <f t="shared" si="6"/>
        <v>0</v>
      </c>
      <c r="P6" s="274">
        <f t="shared" si="7"/>
        <v>0</v>
      </c>
    </row>
    <row r="7" spans="1:16" ht="12.75">
      <c r="A7" s="357">
        <v>2125452</v>
      </c>
      <c r="B7" s="357" t="s">
        <v>291</v>
      </c>
      <c r="C7" s="272"/>
      <c r="D7" s="242"/>
      <c r="E7" s="242"/>
      <c r="F7" s="243">
        <f t="shared" si="0"/>
        <v>0</v>
      </c>
      <c r="G7" s="523">
        <f t="shared" si="8"/>
        <v>29.994</v>
      </c>
      <c r="H7" s="245">
        <f>G7*(1-'Dealer Inputs'!$H$22)*(1-'Dealer Inputs'!$L$22)</f>
        <v>22.4955</v>
      </c>
      <c r="I7" s="358">
        <v>49.99</v>
      </c>
      <c r="J7" s="273">
        <f t="shared" si="1"/>
        <v>0</v>
      </c>
      <c r="K7" s="273">
        <f t="shared" si="2"/>
        <v>0</v>
      </c>
      <c r="L7" s="273">
        <f t="shared" si="3"/>
        <v>0</v>
      </c>
      <c r="M7" s="273">
        <f t="shared" si="4"/>
        <v>0</v>
      </c>
      <c r="N7" s="273">
        <f t="shared" si="5"/>
        <v>0</v>
      </c>
      <c r="O7" s="273">
        <f t="shared" si="6"/>
        <v>0</v>
      </c>
      <c r="P7" s="274">
        <f t="shared" si="7"/>
        <v>0</v>
      </c>
    </row>
    <row r="8" spans="1:16" ht="12.75">
      <c r="A8" s="357">
        <v>2125453</v>
      </c>
      <c r="B8" s="357" t="s">
        <v>292</v>
      </c>
      <c r="C8" s="272"/>
      <c r="D8" s="242"/>
      <c r="E8" s="242"/>
      <c r="F8" s="243">
        <f t="shared" si="0"/>
        <v>0</v>
      </c>
      <c r="G8" s="523">
        <f t="shared" si="8"/>
        <v>29.994</v>
      </c>
      <c r="H8" s="245">
        <f>G8*(1-'Dealer Inputs'!$H$22)*(1-'Dealer Inputs'!$L$22)</f>
        <v>22.4955</v>
      </c>
      <c r="I8" s="358">
        <v>49.99</v>
      </c>
      <c r="J8" s="273">
        <f t="shared" si="1"/>
        <v>0</v>
      </c>
      <c r="K8" s="273">
        <f t="shared" si="2"/>
        <v>0</v>
      </c>
      <c r="L8" s="273">
        <f t="shared" si="3"/>
        <v>0</v>
      </c>
      <c r="M8" s="273">
        <f t="shared" si="4"/>
        <v>0</v>
      </c>
      <c r="N8" s="273">
        <f t="shared" si="5"/>
        <v>0</v>
      </c>
      <c r="O8" s="273">
        <f t="shared" si="6"/>
        <v>0</v>
      </c>
      <c r="P8" s="274">
        <f t="shared" si="7"/>
        <v>0</v>
      </c>
    </row>
    <row r="9" spans="1:16" ht="13.5" customHeight="1">
      <c r="A9" s="357">
        <v>2125454</v>
      </c>
      <c r="B9" s="357" t="s">
        <v>200</v>
      </c>
      <c r="C9" s="272"/>
      <c r="D9" s="272"/>
      <c r="E9" s="272"/>
      <c r="F9" s="243">
        <f t="shared" si="0"/>
        <v>0</v>
      </c>
      <c r="G9" s="523">
        <f t="shared" si="8"/>
        <v>29.994</v>
      </c>
      <c r="H9" s="245">
        <f>G9*(1-'Dealer Inputs'!$H$22)*(1-'Dealer Inputs'!$L$22)</f>
        <v>22.4955</v>
      </c>
      <c r="I9" s="358">
        <v>49.99</v>
      </c>
      <c r="J9" s="273">
        <f t="shared" si="1"/>
        <v>0</v>
      </c>
      <c r="K9" s="273">
        <f t="shared" si="2"/>
        <v>0</v>
      </c>
      <c r="L9" s="273">
        <f t="shared" si="3"/>
        <v>0</v>
      </c>
      <c r="M9" s="273">
        <f t="shared" si="4"/>
        <v>0</v>
      </c>
      <c r="N9" s="273">
        <f t="shared" si="5"/>
        <v>0</v>
      </c>
      <c r="O9" s="273">
        <f t="shared" si="6"/>
        <v>0</v>
      </c>
      <c r="P9" s="274">
        <f t="shared" si="7"/>
        <v>0</v>
      </c>
    </row>
    <row r="10" spans="1:16" ht="12.75">
      <c r="A10" s="357">
        <v>2125455</v>
      </c>
      <c r="B10" s="357" t="s">
        <v>201</v>
      </c>
      <c r="C10" s="272"/>
      <c r="D10" s="272"/>
      <c r="E10" s="272"/>
      <c r="F10" s="243">
        <f t="shared" si="0"/>
        <v>0</v>
      </c>
      <c r="G10" s="523">
        <f t="shared" si="8"/>
        <v>29.994</v>
      </c>
      <c r="H10" s="245">
        <f>G10*(1-'Dealer Inputs'!$H$22)*(1-'Dealer Inputs'!$L$22)</f>
        <v>22.4955</v>
      </c>
      <c r="I10" s="358">
        <v>49.99</v>
      </c>
      <c r="J10" s="273">
        <f t="shared" si="1"/>
        <v>0</v>
      </c>
      <c r="K10" s="273">
        <f t="shared" si="2"/>
        <v>0</v>
      </c>
      <c r="L10" s="273">
        <f t="shared" si="3"/>
        <v>0</v>
      </c>
      <c r="M10" s="273">
        <f t="shared" si="4"/>
        <v>0</v>
      </c>
      <c r="N10" s="273">
        <f t="shared" si="5"/>
        <v>0</v>
      </c>
      <c r="O10" s="273">
        <f t="shared" si="6"/>
        <v>0</v>
      </c>
      <c r="P10" s="274">
        <f t="shared" si="7"/>
        <v>0</v>
      </c>
    </row>
    <row r="11" spans="1:16" ht="12.75">
      <c r="A11" s="357">
        <v>2125456</v>
      </c>
      <c r="B11" s="357" t="s">
        <v>202</v>
      </c>
      <c r="C11" s="272"/>
      <c r="D11" s="272"/>
      <c r="E11" s="272"/>
      <c r="F11" s="243">
        <f t="shared" si="0"/>
        <v>0</v>
      </c>
      <c r="G11" s="523">
        <f t="shared" si="8"/>
        <v>29.994</v>
      </c>
      <c r="H11" s="245">
        <f>G11*(1-'Dealer Inputs'!$H$22)*(1-'Dealer Inputs'!$L$22)</f>
        <v>22.4955</v>
      </c>
      <c r="I11" s="358">
        <v>49.99</v>
      </c>
      <c r="J11" s="273">
        <f t="shared" si="1"/>
        <v>0</v>
      </c>
      <c r="K11" s="273">
        <f t="shared" si="2"/>
        <v>0</v>
      </c>
      <c r="L11" s="273">
        <f t="shared" si="3"/>
        <v>0</v>
      </c>
      <c r="M11" s="273">
        <f t="shared" si="4"/>
        <v>0</v>
      </c>
      <c r="N11" s="273">
        <f t="shared" si="5"/>
        <v>0</v>
      </c>
      <c r="O11" s="273">
        <f t="shared" si="6"/>
        <v>0</v>
      </c>
      <c r="P11" s="274">
        <f t="shared" si="7"/>
        <v>0</v>
      </c>
    </row>
    <row r="12" spans="1:16" ht="12.75">
      <c r="A12" s="357">
        <v>2125457</v>
      </c>
      <c r="B12" s="357" t="s">
        <v>203</v>
      </c>
      <c r="C12" s="272"/>
      <c r="D12" s="272"/>
      <c r="E12" s="272"/>
      <c r="F12" s="243">
        <f t="shared" si="0"/>
        <v>0</v>
      </c>
      <c r="G12" s="523">
        <f t="shared" si="8"/>
        <v>29.994</v>
      </c>
      <c r="H12" s="245">
        <f>G12*(1-'Dealer Inputs'!$H$22)*(1-'Dealer Inputs'!$L$22)</f>
        <v>22.4955</v>
      </c>
      <c r="I12" s="358">
        <v>49.99</v>
      </c>
      <c r="J12" s="273">
        <f t="shared" si="1"/>
        <v>0</v>
      </c>
      <c r="K12" s="273">
        <f t="shared" si="2"/>
        <v>0</v>
      </c>
      <c r="L12" s="273">
        <f t="shared" si="3"/>
        <v>0</v>
      </c>
      <c r="M12" s="273">
        <f t="shared" si="4"/>
        <v>0</v>
      </c>
      <c r="N12" s="273">
        <f t="shared" si="5"/>
        <v>0</v>
      </c>
      <c r="O12" s="273">
        <f t="shared" si="6"/>
        <v>0</v>
      </c>
      <c r="P12" s="274">
        <f t="shared" si="7"/>
        <v>0</v>
      </c>
    </row>
    <row r="13" spans="1:16" ht="3" customHeight="1">
      <c r="A13" s="357"/>
      <c r="B13" s="357"/>
      <c r="C13" s="272"/>
      <c r="D13" s="242"/>
      <c r="E13" s="242"/>
      <c r="F13" s="243"/>
      <c r="G13" s="523"/>
      <c r="H13" s="245"/>
      <c r="I13" s="358"/>
      <c r="J13" s="273"/>
      <c r="K13" s="273"/>
      <c r="L13" s="273"/>
      <c r="M13" s="273"/>
      <c r="N13" s="273"/>
      <c r="O13" s="273"/>
      <c r="P13" s="274"/>
    </row>
    <row r="14" spans="1:16" ht="12.75">
      <c r="A14" s="357">
        <v>2125458</v>
      </c>
      <c r="B14" s="357" t="s">
        <v>204</v>
      </c>
      <c r="C14" s="272"/>
      <c r="D14" s="242"/>
      <c r="E14" s="242"/>
      <c r="F14" s="243">
        <f t="shared" si="0"/>
        <v>0</v>
      </c>
      <c r="G14" s="523">
        <f t="shared" si="8"/>
        <v>29.994</v>
      </c>
      <c r="H14" s="245">
        <f>G14*(1-'Dealer Inputs'!$H$22)*(1-'Dealer Inputs'!$L$22)</f>
        <v>22.4955</v>
      </c>
      <c r="I14" s="358">
        <v>49.99</v>
      </c>
      <c r="J14" s="273">
        <f t="shared" si="1"/>
        <v>0</v>
      </c>
      <c r="K14" s="273">
        <f t="shared" si="2"/>
        <v>0</v>
      </c>
      <c r="L14" s="273">
        <f t="shared" si="3"/>
        <v>0</v>
      </c>
      <c r="M14" s="273">
        <f t="shared" si="4"/>
        <v>0</v>
      </c>
      <c r="N14" s="273">
        <f t="shared" si="5"/>
        <v>0</v>
      </c>
      <c r="O14" s="273">
        <f t="shared" si="6"/>
        <v>0</v>
      </c>
      <c r="P14" s="274">
        <f t="shared" si="7"/>
        <v>0</v>
      </c>
    </row>
    <row r="15" spans="1:16" ht="12.75">
      <c r="A15" s="357">
        <v>2125459</v>
      </c>
      <c r="B15" s="357" t="s">
        <v>205</v>
      </c>
      <c r="C15" s="272"/>
      <c r="D15" s="242"/>
      <c r="E15" s="242"/>
      <c r="F15" s="243">
        <f t="shared" si="0"/>
        <v>0</v>
      </c>
      <c r="G15" s="523">
        <f t="shared" si="8"/>
        <v>29.994</v>
      </c>
      <c r="H15" s="245">
        <f>G15*(1-'Dealer Inputs'!$H$22)*(1-'Dealer Inputs'!$L$22)</f>
        <v>22.4955</v>
      </c>
      <c r="I15" s="358">
        <v>49.99</v>
      </c>
      <c r="J15" s="273"/>
      <c r="K15" s="273"/>
      <c r="L15" s="273"/>
      <c r="M15" s="273"/>
      <c r="N15" s="273"/>
      <c r="O15" s="273"/>
      <c r="P15" s="274">
        <f t="shared" si="7"/>
        <v>0</v>
      </c>
    </row>
    <row r="16" spans="1:16" ht="12.75">
      <c r="A16" s="357">
        <v>2125460</v>
      </c>
      <c r="B16" s="357" t="s">
        <v>206</v>
      </c>
      <c r="C16" s="272"/>
      <c r="D16" s="272"/>
      <c r="E16" s="272"/>
      <c r="F16" s="243">
        <f t="shared" si="0"/>
        <v>0</v>
      </c>
      <c r="G16" s="523">
        <f t="shared" si="8"/>
        <v>29.994</v>
      </c>
      <c r="H16" s="245">
        <f>G16*(1-'Dealer Inputs'!$H$22)*(1-'Dealer Inputs'!$L$22)</f>
        <v>22.4955</v>
      </c>
      <c r="I16" s="358">
        <v>49.99</v>
      </c>
      <c r="J16" s="273">
        <f aca="true" t="shared" si="9" ref="J16:J22">SUM(C16*$G16)</f>
        <v>0</v>
      </c>
      <c r="K16" s="273">
        <f aca="true" t="shared" si="10" ref="K16:K22">SUM(D16*$G16)</f>
        <v>0</v>
      </c>
      <c r="L16" s="273">
        <f aca="true" t="shared" si="11" ref="L16:L22">SUM(E16*$G16)</f>
        <v>0</v>
      </c>
      <c r="M16" s="273">
        <f aca="true" t="shared" si="12" ref="M16:M22">SUM(C16*$H16)</f>
        <v>0</v>
      </c>
      <c r="N16" s="273">
        <f aca="true" t="shared" si="13" ref="N16:N22">SUM(D16*$H16)</f>
        <v>0</v>
      </c>
      <c r="O16" s="273">
        <f aca="true" t="shared" si="14" ref="O16:O22">SUM(E16*$H16)</f>
        <v>0</v>
      </c>
      <c r="P16" s="274">
        <f t="shared" si="7"/>
        <v>0</v>
      </c>
    </row>
    <row r="17" spans="1:16" ht="12.75">
      <c r="A17" s="357">
        <v>2125461</v>
      </c>
      <c r="B17" s="357" t="s">
        <v>207</v>
      </c>
      <c r="C17" s="272"/>
      <c r="D17" s="272"/>
      <c r="E17" s="272"/>
      <c r="F17" s="243">
        <f t="shared" si="0"/>
        <v>0</v>
      </c>
      <c r="G17" s="523">
        <f t="shared" si="8"/>
        <v>29.994</v>
      </c>
      <c r="H17" s="245">
        <f>G17*(1-'Dealer Inputs'!$H$22)*(1-'Dealer Inputs'!$L$22)</f>
        <v>22.4955</v>
      </c>
      <c r="I17" s="358">
        <v>49.99</v>
      </c>
      <c r="J17" s="273">
        <f t="shared" si="9"/>
        <v>0</v>
      </c>
      <c r="K17" s="273">
        <f t="shared" si="10"/>
        <v>0</v>
      </c>
      <c r="L17" s="273">
        <f t="shared" si="11"/>
        <v>0</v>
      </c>
      <c r="M17" s="273">
        <f t="shared" si="12"/>
        <v>0</v>
      </c>
      <c r="N17" s="273">
        <f t="shared" si="13"/>
        <v>0</v>
      </c>
      <c r="O17" s="273">
        <f t="shared" si="14"/>
        <v>0</v>
      </c>
      <c r="P17" s="274">
        <f t="shared" si="7"/>
        <v>0</v>
      </c>
    </row>
    <row r="18" spans="1:16" ht="15.75" customHeight="1">
      <c r="A18" s="357">
        <v>2125462</v>
      </c>
      <c r="B18" s="357" t="s">
        <v>208</v>
      </c>
      <c r="C18" s="272"/>
      <c r="D18" s="272"/>
      <c r="E18" s="272"/>
      <c r="F18" s="243">
        <f t="shared" si="0"/>
        <v>0</v>
      </c>
      <c r="G18" s="523">
        <f t="shared" si="8"/>
        <v>29.994</v>
      </c>
      <c r="H18" s="245">
        <f>G18*(1-'Dealer Inputs'!$H$22)*(1-'Dealer Inputs'!$L$22)</f>
        <v>22.4955</v>
      </c>
      <c r="I18" s="358">
        <v>49.99</v>
      </c>
      <c r="J18" s="273">
        <f t="shared" si="9"/>
        <v>0</v>
      </c>
      <c r="K18" s="273">
        <f t="shared" si="10"/>
        <v>0</v>
      </c>
      <c r="L18" s="273">
        <f t="shared" si="11"/>
        <v>0</v>
      </c>
      <c r="M18" s="273">
        <f t="shared" si="12"/>
        <v>0</v>
      </c>
      <c r="N18" s="273">
        <f t="shared" si="13"/>
        <v>0</v>
      </c>
      <c r="O18" s="273">
        <f t="shared" si="14"/>
        <v>0</v>
      </c>
      <c r="P18" s="274">
        <f t="shared" si="7"/>
        <v>0</v>
      </c>
    </row>
    <row r="19" spans="1:16" ht="3.75" customHeight="1">
      <c r="A19" s="357"/>
      <c r="B19" s="357"/>
      <c r="C19" s="272"/>
      <c r="D19" s="272"/>
      <c r="E19" s="272"/>
      <c r="F19" s="243"/>
      <c r="G19" s="523"/>
      <c r="H19" s="245"/>
      <c r="I19" s="358"/>
      <c r="J19" s="273"/>
      <c r="K19" s="273"/>
      <c r="L19" s="273"/>
      <c r="M19" s="273"/>
      <c r="N19" s="273"/>
      <c r="O19" s="273"/>
      <c r="P19" s="274"/>
    </row>
    <row r="20" spans="1:16" ht="14.25" customHeight="1">
      <c r="A20" s="357">
        <v>2115520</v>
      </c>
      <c r="B20" s="359" t="s">
        <v>209</v>
      </c>
      <c r="C20" s="272"/>
      <c r="D20" s="272"/>
      <c r="E20" s="272"/>
      <c r="F20" s="243">
        <f t="shared" si="0"/>
        <v>0</v>
      </c>
      <c r="G20" s="523">
        <f t="shared" si="8"/>
        <v>23.994</v>
      </c>
      <c r="H20" s="245">
        <f>G20*(1-'Dealer Inputs'!$H$22)*(1-'Dealer Inputs'!$L$22)</f>
        <v>17.9955</v>
      </c>
      <c r="I20" s="358">
        <v>39.99</v>
      </c>
      <c r="J20" s="273">
        <f t="shared" si="9"/>
        <v>0</v>
      </c>
      <c r="K20" s="273">
        <f t="shared" si="10"/>
        <v>0</v>
      </c>
      <c r="L20" s="273">
        <f t="shared" si="11"/>
        <v>0</v>
      </c>
      <c r="M20" s="273">
        <f t="shared" si="12"/>
        <v>0</v>
      </c>
      <c r="N20" s="273">
        <f t="shared" si="13"/>
        <v>0</v>
      </c>
      <c r="O20" s="273">
        <f t="shared" si="14"/>
        <v>0</v>
      </c>
      <c r="P20" s="274">
        <f t="shared" si="7"/>
        <v>0</v>
      </c>
    </row>
    <row r="21" spans="1:16" ht="15.75" customHeight="1">
      <c r="A21" s="357">
        <v>2115521</v>
      </c>
      <c r="B21" s="359" t="s">
        <v>210</v>
      </c>
      <c r="C21" s="272"/>
      <c r="D21" s="272"/>
      <c r="E21" s="272"/>
      <c r="F21" s="243">
        <f t="shared" si="0"/>
        <v>0</v>
      </c>
      <c r="G21" s="523">
        <f t="shared" si="8"/>
        <v>23.994</v>
      </c>
      <c r="H21" s="245">
        <f>G21*(1-'Dealer Inputs'!$H$22)*(1-'Dealer Inputs'!$L$22)</f>
        <v>17.9955</v>
      </c>
      <c r="I21" s="358">
        <v>39.99</v>
      </c>
      <c r="J21" s="273">
        <f t="shared" si="9"/>
        <v>0</v>
      </c>
      <c r="K21" s="273">
        <f t="shared" si="10"/>
        <v>0</v>
      </c>
      <c r="L21" s="273">
        <f t="shared" si="11"/>
        <v>0</v>
      </c>
      <c r="M21" s="273">
        <f t="shared" si="12"/>
        <v>0</v>
      </c>
      <c r="N21" s="273">
        <f t="shared" si="13"/>
        <v>0</v>
      </c>
      <c r="O21" s="273">
        <f t="shared" si="14"/>
        <v>0</v>
      </c>
      <c r="P21" s="274">
        <f t="shared" si="7"/>
        <v>0</v>
      </c>
    </row>
    <row r="22" spans="1:16" ht="15" customHeight="1">
      <c r="A22" s="357">
        <v>2115522</v>
      </c>
      <c r="B22" s="359" t="s">
        <v>356</v>
      </c>
      <c r="C22" s="272"/>
      <c r="D22" s="272"/>
      <c r="E22" s="272"/>
      <c r="F22" s="243">
        <f t="shared" si="0"/>
        <v>0</v>
      </c>
      <c r="G22" s="523">
        <f t="shared" si="8"/>
        <v>23.994</v>
      </c>
      <c r="H22" s="245">
        <f>G22*(1-'Dealer Inputs'!$H$22)*(1-'Dealer Inputs'!$L$22)</f>
        <v>17.9955</v>
      </c>
      <c r="I22" s="358">
        <v>39.99</v>
      </c>
      <c r="J22" s="273">
        <f t="shared" si="9"/>
        <v>0</v>
      </c>
      <c r="K22" s="273">
        <f t="shared" si="10"/>
        <v>0</v>
      </c>
      <c r="L22" s="273">
        <f t="shared" si="11"/>
        <v>0</v>
      </c>
      <c r="M22" s="273">
        <f t="shared" si="12"/>
        <v>0</v>
      </c>
      <c r="N22" s="273">
        <f t="shared" si="13"/>
        <v>0</v>
      </c>
      <c r="O22" s="273">
        <f t="shared" si="14"/>
        <v>0</v>
      </c>
      <c r="P22" s="274">
        <f t="shared" si="7"/>
        <v>0</v>
      </c>
    </row>
    <row r="23" spans="1:16" ht="3.75" customHeight="1">
      <c r="A23" s="357"/>
      <c r="B23" s="359"/>
      <c r="C23" s="272"/>
      <c r="D23" s="272"/>
      <c r="E23" s="272"/>
      <c r="F23" s="243"/>
      <c r="G23" s="523"/>
      <c r="H23" s="245"/>
      <c r="I23" s="358"/>
      <c r="J23" s="273"/>
      <c r="K23" s="273"/>
      <c r="L23" s="273"/>
      <c r="M23" s="273"/>
      <c r="N23" s="273"/>
      <c r="O23" s="273"/>
      <c r="P23" s="274"/>
    </row>
    <row r="24" spans="1:16" ht="14.25" customHeight="1">
      <c r="A24" s="357">
        <v>2125466</v>
      </c>
      <c r="B24" s="357" t="s">
        <v>225</v>
      </c>
      <c r="C24" s="272"/>
      <c r="D24" s="272"/>
      <c r="E24" s="272"/>
      <c r="F24" s="243">
        <f t="shared" si="0"/>
        <v>0</v>
      </c>
      <c r="G24" s="523">
        <f t="shared" si="8"/>
        <v>23.994</v>
      </c>
      <c r="H24" s="245">
        <f>G24*(1-'Dealer Inputs'!$H$22)*(1-'Dealer Inputs'!$L$22)</f>
        <v>17.9955</v>
      </c>
      <c r="I24" s="358">
        <v>39.99</v>
      </c>
      <c r="J24" s="273"/>
      <c r="K24" s="273"/>
      <c r="L24" s="273"/>
      <c r="M24" s="273"/>
      <c r="N24" s="273"/>
      <c r="O24" s="273"/>
      <c r="P24" s="274">
        <f t="shared" si="7"/>
        <v>0</v>
      </c>
    </row>
    <row r="25" spans="1:16" ht="14.25" customHeight="1">
      <c r="A25" s="357">
        <v>2125468</v>
      </c>
      <c r="B25" s="357" t="s">
        <v>226</v>
      </c>
      <c r="C25" s="272"/>
      <c r="D25" s="242"/>
      <c r="E25" s="242"/>
      <c r="F25" s="243">
        <f t="shared" si="0"/>
        <v>0</v>
      </c>
      <c r="G25" s="523">
        <f t="shared" si="8"/>
        <v>23.994</v>
      </c>
      <c r="H25" s="245">
        <f>G25*(1-'Dealer Inputs'!$H$22)*(1-'Dealer Inputs'!$L$22)</f>
        <v>17.9955</v>
      </c>
      <c r="I25" s="358">
        <v>39.99</v>
      </c>
      <c r="J25" s="273">
        <f aca="true" t="shared" si="15" ref="J25:L27">SUM(C25*$G25)</f>
        <v>0</v>
      </c>
      <c r="K25" s="273">
        <f t="shared" si="15"/>
        <v>0</v>
      </c>
      <c r="L25" s="273">
        <f t="shared" si="15"/>
        <v>0</v>
      </c>
      <c r="M25" s="273">
        <f aca="true" t="shared" si="16" ref="M25:O27">SUM(C25*$H25)</f>
        <v>0</v>
      </c>
      <c r="N25" s="273">
        <f t="shared" si="16"/>
        <v>0</v>
      </c>
      <c r="O25" s="273">
        <f t="shared" si="16"/>
        <v>0</v>
      </c>
      <c r="P25" s="274">
        <f t="shared" si="7"/>
        <v>0</v>
      </c>
    </row>
    <row r="26" spans="1:16" ht="15" customHeight="1">
      <c r="A26" s="357">
        <v>2115525</v>
      </c>
      <c r="B26" s="359" t="s">
        <v>357</v>
      </c>
      <c r="C26" s="272"/>
      <c r="D26" s="242"/>
      <c r="E26" s="242"/>
      <c r="F26" s="243">
        <f t="shared" si="0"/>
        <v>0</v>
      </c>
      <c r="G26" s="523">
        <f t="shared" si="8"/>
        <v>23.994</v>
      </c>
      <c r="H26" s="245">
        <f>G26*(1-'Dealer Inputs'!$H$22)*(1-'Dealer Inputs'!$L$22)</f>
        <v>17.9955</v>
      </c>
      <c r="I26" s="358">
        <v>39.99</v>
      </c>
      <c r="J26" s="273">
        <f t="shared" si="15"/>
        <v>0</v>
      </c>
      <c r="K26" s="273">
        <f t="shared" si="15"/>
        <v>0</v>
      </c>
      <c r="L26" s="273">
        <f t="shared" si="15"/>
        <v>0</v>
      </c>
      <c r="M26" s="273">
        <f t="shared" si="16"/>
        <v>0</v>
      </c>
      <c r="N26" s="273">
        <f t="shared" si="16"/>
        <v>0</v>
      </c>
      <c r="O26" s="273">
        <f t="shared" si="16"/>
        <v>0</v>
      </c>
      <c r="P26" s="274">
        <f t="shared" si="7"/>
        <v>0</v>
      </c>
    </row>
    <row r="27" spans="1:16" ht="13.5" customHeight="1">
      <c r="A27" s="357">
        <v>2115526</v>
      </c>
      <c r="B27" s="359" t="s">
        <v>358</v>
      </c>
      <c r="C27" s="272"/>
      <c r="D27" s="242"/>
      <c r="E27" s="242"/>
      <c r="F27" s="243">
        <f t="shared" si="0"/>
        <v>0</v>
      </c>
      <c r="G27" s="523">
        <f t="shared" si="8"/>
        <v>23.994</v>
      </c>
      <c r="H27" s="245">
        <f>G27*(1-'Dealer Inputs'!$H$22)*(1-'Dealer Inputs'!$L$22)</f>
        <v>17.9955</v>
      </c>
      <c r="I27" s="358">
        <v>39.99</v>
      </c>
      <c r="J27" s="273">
        <f t="shared" si="15"/>
        <v>0</v>
      </c>
      <c r="K27" s="273">
        <f t="shared" si="15"/>
        <v>0</v>
      </c>
      <c r="L27" s="273">
        <f t="shared" si="15"/>
        <v>0</v>
      </c>
      <c r="M27" s="273">
        <f t="shared" si="16"/>
        <v>0</v>
      </c>
      <c r="N27" s="273">
        <f t="shared" si="16"/>
        <v>0</v>
      </c>
      <c r="O27" s="273">
        <f t="shared" si="16"/>
        <v>0</v>
      </c>
      <c r="P27" s="274">
        <f t="shared" si="7"/>
        <v>0</v>
      </c>
    </row>
    <row r="28" spans="1:16" ht="12.75">
      <c r="A28" s="357">
        <v>2115527</v>
      </c>
      <c r="B28" s="359" t="s">
        <v>359</v>
      </c>
      <c r="C28" s="272"/>
      <c r="D28" s="242"/>
      <c r="E28" s="242"/>
      <c r="F28" s="243">
        <f t="shared" si="0"/>
        <v>0</v>
      </c>
      <c r="G28" s="523">
        <f t="shared" si="8"/>
        <v>23.994</v>
      </c>
      <c r="H28" s="245">
        <f>G28*(1-'Dealer Inputs'!$H$22)*(1-'Dealer Inputs'!$L$22)</f>
        <v>17.9955</v>
      </c>
      <c r="I28" s="358">
        <v>39.99</v>
      </c>
      <c r="J28" s="273"/>
      <c r="K28" s="273"/>
      <c r="L28" s="273"/>
      <c r="M28" s="273"/>
      <c r="N28" s="273"/>
      <c r="O28" s="273"/>
      <c r="P28" s="274">
        <f t="shared" si="7"/>
        <v>0</v>
      </c>
    </row>
    <row r="29" spans="1:16" ht="12.75" customHeight="1">
      <c r="A29" s="357">
        <v>2115528</v>
      </c>
      <c r="B29" s="359" t="s">
        <v>360</v>
      </c>
      <c r="C29" s="272"/>
      <c r="D29" s="242"/>
      <c r="E29" s="242"/>
      <c r="F29" s="243">
        <f t="shared" si="0"/>
        <v>0</v>
      </c>
      <c r="G29" s="523">
        <f t="shared" si="8"/>
        <v>23.994</v>
      </c>
      <c r="H29" s="245">
        <f>G29*(1-'Dealer Inputs'!$H$22)*(1-'Dealer Inputs'!$L$22)</f>
        <v>17.9955</v>
      </c>
      <c r="I29" s="358">
        <v>39.99</v>
      </c>
      <c r="J29" s="273">
        <f aca="true" t="shared" si="17" ref="J29:J35">SUM(C29*$G29)</f>
        <v>0</v>
      </c>
      <c r="K29" s="273">
        <f aca="true" t="shared" si="18" ref="K29:K36">SUM(D29*$G29)</f>
        <v>0</v>
      </c>
      <c r="L29" s="273">
        <f aca="true" t="shared" si="19" ref="L29:L36">SUM(E29*$G29)</f>
        <v>0</v>
      </c>
      <c r="M29" s="273">
        <f aca="true" t="shared" si="20" ref="M29:M35">SUM(C29*$H29)</f>
        <v>0</v>
      </c>
      <c r="N29" s="273">
        <f aca="true" t="shared" si="21" ref="N29:N36">SUM(D29*$H29)</f>
        <v>0</v>
      </c>
      <c r="O29" s="273">
        <f aca="true" t="shared" si="22" ref="O29:O36">SUM(E29*$H29)</f>
        <v>0</v>
      </c>
      <c r="P29" s="274">
        <f t="shared" si="7"/>
        <v>0</v>
      </c>
    </row>
    <row r="30" spans="1:16" ht="1.5" customHeight="1">
      <c r="A30" s="357"/>
      <c r="B30" s="359"/>
      <c r="C30" s="272"/>
      <c r="D30" s="242"/>
      <c r="E30" s="242"/>
      <c r="F30" s="243"/>
      <c r="G30" s="523"/>
      <c r="H30" s="245"/>
      <c r="I30" s="358"/>
      <c r="J30" s="273"/>
      <c r="K30" s="273"/>
      <c r="L30" s="273"/>
      <c r="M30" s="273"/>
      <c r="N30" s="273"/>
      <c r="O30" s="273"/>
      <c r="P30" s="274"/>
    </row>
    <row r="31" spans="1:16" ht="12" customHeight="1">
      <c r="A31" s="357">
        <v>2125463</v>
      </c>
      <c r="B31" s="357" t="s">
        <v>223</v>
      </c>
      <c r="C31" s="272"/>
      <c r="D31" s="242"/>
      <c r="E31" s="242"/>
      <c r="F31" s="243">
        <f t="shared" si="0"/>
        <v>0</v>
      </c>
      <c r="G31" s="523">
        <f t="shared" si="8"/>
        <v>23.994</v>
      </c>
      <c r="H31" s="245">
        <f>G31*(1-'Dealer Inputs'!$H$22)*(1-'Dealer Inputs'!$L$22)</f>
        <v>17.9955</v>
      </c>
      <c r="I31" s="358">
        <v>39.99</v>
      </c>
      <c r="J31" s="273">
        <f t="shared" si="17"/>
        <v>0</v>
      </c>
      <c r="K31" s="273">
        <f t="shared" si="18"/>
        <v>0</v>
      </c>
      <c r="L31" s="273">
        <f t="shared" si="19"/>
        <v>0</v>
      </c>
      <c r="M31" s="273">
        <f t="shared" si="20"/>
        <v>0</v>
      </c>
      <c r="N31" s="273">
        <f t="shared" si="21"/>
        <v>0</v>
      </c>
      <c r="O31" s="273">
        <f t="shared" si="22"/>
        <v>0</v>
      </c>
      <c r="P31" s="274">
        <f t="shared" si="7"/>
        <v>0</v>
      </c>
    </row>
    <row r="32" spans="1:16" ht="12" customHeight="1">
      <c r="A32" s="357">
        <v>2125465</v>
      </c>
      <c r="B32" s="357" t="s">
        <v>224</v>
      </c>
      <c r="C32" s="272"/>
      <c r="D32" s="242"/>
      <c r="E32" s="242"/>
      <c r="F32" s="243">
        <f t="shared" si="0"/>
        <v>0</v>
      </c>
      <c r="G32" s="523">
        <f t="shared" si="8"/>
        <v>23.994</v>
      </c>
      <c r="H32" s="245">
        <f>G32*(1-'Dealer Inputs'!$H$22)*(1-'Dealer Inputs'!$L$22)</f>
        <v>17.9955</v>
      </c>
      <c r="I32" s="358">
        <v>39.99</v>
      </c>
      <c r="J32" s="273">
        <f t="shared" si="17"/>
        <v>0</v>
      </c>
      <c r="K32" s="273">
        <f t="shared" si="18"/>
        <v>0</v>
      </c>
      <c r="L32" s="273">
        <f t="shared" si="19"/>
        <v>0</v>
      </c>
      <c r="M32" s="273">
        <f t="shared" si="20"/>
        <v>0</v>
      </c>
      <c r="N32" s="273">
        <f t="shared" si="21"/>
        <v>0</v>
      </c>
      <c r="O32" s="273">
        <f t="shared" si="22"/>
        <v>0</v>
      </c>
      <c r="P32" s="274">
        <f t="shared" si="7"/>
        <v>0</v>
      </c>
    </row>
    <row r="33" spans="1:16" ht="12.75">
      <c r="A33" s="357">
        <v>2115530</v>
      </c>
      <c r="B33" s="359" t="s">
        <v>361</v>
      </c>
      <c r="C33" s="272"/>
      <c r="D33" s="242"/>
      <c r="E33" s="242"/>
      <c r="F33" s="243">
        <f t="shared" si="0"/>
        <v>0</v>
      </c>
      <c r="G33" s="523">
        <f t="shared" si="8"/>
        <v>23.994</v>
      </c>
      <c r="H33" s="245">
        <f>G33*(1-'Dealer Inputs'!$H$22)*(1-'Dealer Inputs'!$L$22)</f>
        <v>17.9955</v>
      </c>
      <c r="I33" s="358">
        <v>39.99</v>
      </c>
      <c r="J33" s="273">
        <f t="shared" si="17"/>
        <v>0</v>
      </c>
      <c r="K33" s="273">
        <f t="shared" si="18"/>
        <v>0</v>
      </c>
      <c r="L33" s="273">
        <f t="shared" si="19"/>
        <v>0</v>
      </c>
      <c r="M33" s="273">
        <f t="shared" si="20"/>
        <v>0</v>
      </c>
      <c r="N33" s="273">
        <f t="shared" si="21"/>
        <v>0</v>
      </c>
      <c r="O33" s="273">
        <f t="shared" si="22"/>
        <v>0</v>
      </c>
      <c r="P33" s="274">
        <f t="shared" si="7"/>
        <v>0</v>
      </c>
    </row>
    <row r="34" spans="1:16" ht="12" customHeight="1">
      <c r="A34" s="357">
        <v>2115531</v>
      </c>
      <c r="B34" s="359" t="s">
        <v>228</v>
      </c>
      <c r="C34" s="272"/>
      <c r="D34" s="242"/>
      <c r="E34" s="242"/>
      <c r="F34" s="243">
        <f t="shared" si="0"/>
        <v>0</v>
      </c>
      <c r="G34" s="523">
        <f t="shared" si="8"/>
        <v>23.994</v>
      </c>
      <c r="H34" s="245">
        <f>G34*(1-'Dealer Inputs'!$H$22)*(1-'Dealer Inputs'!$L$22)</f>
        <v>17.9955</v>
      </c>
      <c r="I34" s="358">
        <v>39.99</v>
      </c>
      <c r="J34" s="273">
        <f t="shared" si="17"/>
        <v>0</v>
      </c>
      <c r="K34" s="273">
        <f t="shared" si="18"/>
        <v>0</v>
      </c>
      <c r="L34" s="273">
        <f t="shared" si="19"/>
        <v>0</v>
      </c>
      <c r="M34" s="273">
        <f t="shared" si="20"/>
        <v>0</v>
      </c>
      <c r="N34" s="273">
        <f t="shared" si="21"/>
        <v>0</v>
      </c>
      <c r="O34" s="273">
        <f t="shared" si="22"/>
        <v>0</v>
      </c>
      <c r="P34" s="274">
        <f t="shared" si="7"/>
        <v>0</v>
      </c>
    </row>
    <row r="35" spans="1:16" ht="12.75">
      <c r="A35" s="357">
        <v>2115532</v>
      </c>
      <c r="B35" s="359" t="s">
        <v>229</v>
      </c>
      <c r="C35" s="272"/>
      <c r="D35" s="242"/>
      <c r="E35" s="242"/>
      <c r="F35" s="243">
        <f t="shared" si="0"/>
        <v>0</v>
      </c>
      <c r="G35" s="523">
        <f t="shared" si="8"/>
        <v>23.994</v>
      </c>
      <c r="H35" s="245">
        <f>G35*(1-'Dealer Inputs'!$H$22)*(1-'Dealer Inputs'!$L$22)</f>
        <v>17.9955</v>
      </c>
      <c r="I35" s="358">
        <v>39.99</v>
      </c>
      <c r="J35" s="273">
        <f t="shared" si="17"/>
        <v>0</v>
      </c>
      <c r="K35" s="273">
        <f t="shared" si="18"/>
        <v>0</v>
      </c>
      <c r="L35" s="273">
        <f t="shared" si="19"/>
        <v>0</v>
      </c>
      <c r="M35" s="273">
        <f t="shared" si="20"/>
        <v>0</v>
      </c>
      <c r="N35" s="273">
        <f t="shared" si="21"/>
        <v>0</v>
      </c>
      <c r="O35" s="273">
        <f t="shared" si="22"/>
        <v>0</v>
      </c>
      <c r="P35" s="274">
        <f t="shared" si="7"/>
        <v>0</v>
      </c>
    </row>
    <row r="36" spans="1:16" ht="12.75">
      <c r="A36" s="357">
        <v>2115533</v>
      </c>
      <c r="B36" s="359" t="s">
        <v>230</v>
      </c>
      <c r="C36" s="272"/>
      <c r="D36" s="242"/>
      <c r="E36" s="242"/>
      <c r="F36" s="243">
        <f t="shared" si="0"/>
        <v>0</v>
      </c>
      <c r="G36" s="523">
        <f t="shared" si="8"/>
        <v>23.994</v>
      </c>
      <c r="H36" s="245">
        <f>G36*(1-'Dealer Inputs'!$H$22)*(1-'Dealer Inputs'!$L$22)</f>
        <v>17.9955</v>
      </c>
      <c r="I36" s="358">
        <v>39.99</v>
      </c>
      <c r="J36" s="273">
        <f>SUM(C36*$G36)</f>
        <v>0</v>
      </c>
      <c r="K36" s="273">
        <f t="shared" si="18"/>
        <v>0</v>
      </c>
      <c r="L36" s="273">
        <f t="shared" si="19"/>
        <v>0</v>
      </c>
      <c r="M36" s="273">
        <f>SUM(C36*$H36)</f>
        <v>0</v>
      </c>
      <c r="N36" s="273">
        <f t="shared" si="21"/>
        <v>0</v>
      </c>
      <c r="O36" s="273">
        <f t="shared" si="22"/>
        <v>0</v>
      </c>
      <c r="P36" s="274">
        <f t="shared" si="7"/>
        <v>0</v>
      </c>
    </row>
    <row r="37" spans="1:16" ht="12.75">
      <c r="A37" s="360"/>
      <c r="B37" s="200" t="s">
        <v>56</v>
      </c>
      <c r="C37" s="242">
        <f>SUM(C3:C36)</f>
        <v>0</v>
      </c>
      <c r="D37" s="242">
        <f aca="true" t="shared" si="23" ref="D37:P37">SUM(D3:D36)</f>
        <v>0</v>
      </c>
      <c r="E37" s="242">
        <f t="shared" si="23"/>
        <v>0</v>
      </c>
      <c r="F37" s="242">
        <f t="shared" si="23"/>
        <v>0</v>
      </c>
      <c r="G37" s="539"/>
      <c r="H37" s="361"/>
      <c r="I37" s="361"/>
      <c r="J37" s="242">
        <f t="shared" si="23"/>
        <v>0</v>
      </c>
      <c r="K37" s="242">
        <f t="shared" si="23"/>
        <v>0</v>
      </c>
      <c r="L37" s="242">
        <f t="shared" si="23"/>
        <v>0</v>
      </c>
      <c r="M37" s="242">
        <f t="shared" si="23"/>
        <v>0</v>
      </c>
      <c r="N37" s="242">
        <f t="shared" si="23"/>
        <v>0</v>
      </c>
      <c r="O37" s="242">
        <f t="shared" si="23"/>
        <v>0</v>
      </c>
      <c r="P37" s="362">
        <f t="shared" si="23"/>
        <v>0</v>
      </c>
    </row>
    <row r="55" ht="6" customHeight="1"/>
  </sheetData>
  <sheetProtection/>
  <mergeCells count="1">
    <mergeCell ref="A2:P2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Motion Water Sports,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Wallace</dc:creator>
  <cp:keywords/>
  <dc:description/>
  <cp:lastModifiedBy>Camilo</cp:lastModifiedBy>
  <cp:lastPrinted>2011-08-09T19:10:56Z</cp:lastPrinted>
  <dcterms:created xsi:type="dcterms:W3CDTF">2007-04-10T19:08:12Z</dcterms:created>
  <dcterms:modified xsi:type="dcterms:W3CDTF">2011-11-18T02:59:58Z</dcterms:modified>
  <cp:category/>
  <cp:version/>
  <cp:contentType/>
  <cp:contentStatus/>
</cp:coreProperties>
</file>